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llisto\Public Works\430 - SOLID WASTE\Solid Waste Development Guidelines\Waste Estimation Calculator\"/>
    </mc:Choice>
  </mc:AlternateContent>
  <xr:revisionPtr revIDLastSave="0" documentId="13_ncr:1_{27E4A012-21EA-4A66-9D88-43E67AB98390}" xr6:coauthVersionLast="47" xr6:coauthVersionMax="47" xr10:uidLastSave="{00000000-0000-0000-0000-000000000000}"/>
  <bookViews>
    <workbookView xWindow="-120" yWindow="-120" windowWidth="29040" windowHeight="15840" xr2:uid="{7F00297F-D27D-4033-A5F3-9120179BF2A5}"/>
  </bookViews>
  <sheets>
    <sheet name="Instructions" sheetId="2" r:id="rId1"/>
    <sheet name="Calculation Sheet" sheetId="1" r:id="rId2"/>
    <sheet name="WGE" sheetId="6" r:id="rId3"/>
    <sheet name="CalculationData" sheetId="5" state="hidden" r:id="rId4"/>
  </sheets>
  <definedNames>
    <definedName name="Calc_Cat">CalculationData!$E$3:$E$15</definedName>
    <definedName name="Calc_Unit">CalculationData!$C$3:$C$15</definedName>
    <definedName name="CompactRatio">CalculationData!$A$24</definedName>
    <definedName name="FW_density">CalculationData!$A$23</definedName>
    <definedName name="GalDry">CalculationData!$A$26</definedName>
    <definedName name="GalWet">CalculationData!$A$25</definedName>
    <definedName name="Org_density">CalculationData!$A$22</definedName>
    <definedName name="R_density">CalculationData!$A$21</definedName>
    <definedName name="SW_density">CalculationData!$A$20</definedName>
    <definedName name="Unit">CalculationData!$B$3:$B$15</definedName>
    <definedName name="Week">CalculationData!$A$19</definedName>
    <definedName name="WG_category">CalculationData!$D$3:$D$15</definedName>
    <definedName name="WG_Rates">CalculationData!$A$3:$A$15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 l="1"/>
  <c r="A4" i="6"/>
  <c r="G14" i="1"/>
  <c r="B4" i="6" s="1"/>
  <c r="G13" i="1"/>
  <c r="G9" i="1"/>
  <c r="D75" i="6" l="1"/>
  <c r="D93" i="6"/>
  <c r="I93" i="6" s="1"/>
  <c r="M93" i="6" s="1"/>
  <c r="D76" i="6"/>
  <c r="D94" i="6"/>
  <c r="I94" i="6" s="1"/>
  <c r="M94" i="6" s="1"/>
  <c r="D83" i="6"/>
  <c r="D84" i="6"/>
  <c r="D67" i="6"/>
  <c r="D68" i="6"/>
  <c r="D86" i="6"/>
  <c r="D69" i="6"/>
  <c r="D87" i="6"/>
  <c r="D85" i="6"/>
  <c r="D70" i="6"/>
  <c r="D91" i="6"/>
  <c r="I91" i="6" s="1"/>
  <c r="D71" i="6"/>
  <c r="D92" i="6"/>
  <c r="I92" i="6" s="1"/>
  <c r="D77" i="6"/>
  <c r="D95" i="6"/>
  <c r="D78" i="6"/>
  <c r="D79" i="6"/>
  <c r="D28" i="6"/>
  <c r="D52" i="6"/>
  <c r="C4" i="6"/>
  <c r="D4" i="6" s="1"/>
  <c r="C7" i="6" s="1"/>
  <c r="D101" i="6" s="1"/>
  <c r="D102" i="6" l="1"/>
  <c r="I102" i="6" s="1"/>
  <c r="M102" i="6" s="1"/>
  <c r="D100" i="6"/>
  <c r="I100" i="6" s="1"/>
  <c r="M100" i="6" s="1"/>
  <c r="D99" i="6"/>
  <c r="I99" i="6" s="1"/>
  <c r="M99" i="6" s="1"/>
  <c r="D103" i="6"/>
  <c r="I84" i="6"/>
  <c r="I68" i="6"/>
  <c r="M68" i="6" s="1"/>
  <c r="D62" i="6"/>
  <c r="I62" i="6" s="1"/>
  <c r="M62" i="6" s="1"/>
  <c r="D60" i="6"/>
  <c r="I60" i="6" s="1"/>
  <c r="M60" i="6" s="1"/>
  <c r="D61" i="6"/>
  <c r="I61" i="6" s="1"/>
  <c r="M61" i="6" s="1"/>
  <c r="D63" i="6"/>
  <c r="D59" i="6"/>
  <c r="I59" i="6" s="1"/>
  <c r="D44" i="6"/>
  <c r="I44" i="6" s="1"/>
  <c r="D38" i="6"/>
  <c r="I38" i="6" s="1"/>
  <c r="M38" i="6" s="1"/>
  <c r="D35" i="6"/>
  <c r="I35" i="6" s="1"/>
  <c r="M35" i="6" s="1"/>
  <c r="D37" i="6"/>
  <c r="I37" i="6" s="1"/>
  <c r="M37" i="6" s="1"/>
  <c r="D39" i="6"/>
  <c r="D36" i="6"/>
  <c r="I36" i="6" s="1"/>
  <c r="M36" i="6" s="1"/>
  <c r="D20" i="6"/>
  <c r="I20" i="6" s="1"/>
  <c r="D12" i="6"/>
  <c r="I12" i="6" s="1"/>
  <c r="I101" i="6"/>
  <c r="M101" i="6" s="1"/>
  <c r="I76" i="6"/>
  <c r="D43" i="6"/>
  <c r="I43" i="6" s="1"/>
  <c r="M43" i="6" s="1"/>
  <c r="I28" i="6"/>
  <c r="D13" i="6"/>
  <c r="I13" i="6" s="1"/>
  <c r="M13" i="6" s="1"/>
  <c r="M91" i="6"/>
  <c r="Q91" i="6"/>
  <c r="M92" i="6"/>
  <c r="Q92" i="6"/>
  <c r="D21" i="6"/>
  <c r="I21" i="6" s="1"/>
  <c r="M21" i="6" s="1"/>
  <c r="D55" i="6"/>
  <c r="D51" i="6"/>
  <c r="I51" i="6" s="1"/>
  <c r="M51" i="6" s="1"/>
  <c r="D53" i="6"/>
  <c r="I53" i="6" s="1"/>
  <c r="M53" i="6" s="1"/>
  <c r="D54" i="6"/>
  <c r="I54" i="6" s="1"/>
  <c r="M54" i="6" s="1"/>
  <c r="I52" i="6"/>
  <c r="I85" i="6"/>
  <c r="M85" i="6" s="1"/>
  <c r="I83" i="6"/>
  <c r="I86" i="6"/>
  <c r="M86" i="6" s="1"/>
  <c r="D29" i="6"/>
  <c r="I29" i="6" s="1"/>
  <c r="M29" i="6" s="1"/>
  <c r="I77" i="6"/>
  <c r="M77" i="6" s="1"/>
  <c r="I75" i="6"/>
  <c r="I78" i="6"/>
  <c r="M78" i="6" s="1"/>
  <c r="I70" i="6"/>
  <c r="M70" i="6" s="1"/>
  <c r="I69" i="6"/>
  <c r="M69" i="6" s="1"/>
  <c r="I67" i="6"/>
  <c r="M67" i="6" s="1"/>
  <c r="Q35" i="6"/>
  <c r="Q59" i="6"/>
  <c r="M59" i="6"/>
  <c r="Q36" i="6"/>
  <c r="Q60" i="6"/>
  <c r="D45" i="6"/>
  <c r="I45" i="6" s="1"/>
  <c r="M45" i="6" s="1"/>
  <c r="D30" i="6"/>
  <c r="I30" i="6" s="1"/>
  <c r="M30" i="6" s="1"/>
  <c r="D31" i="6"/>
  <c r="D27" i="6"/>
  <c r="I27" i="6" s="1"/>
  <c r="D23" i="6"/>
  <c r="D19" i="6"/>
  <c r="I19" i="6" s="1"/>
  <c r="D22" i="6"/>
  <c r="I22" i="6" s="1"/>
  <c r="M22" i="6" s="1"/>
  <c r="D47" i="6"/>
  <c r="D46" i="6"/>
  <c r="I46" i="6" s="1"/>
  <c r="M46" i="6" s="1"/>
  <c r="D11" i="6"/>
  <c r="I11" i="6" s="1"/>
  <c r="D15" i="6"/>
  <c r="D14" i="6"/>
  <c r="I14" i="6" s="1"/>
  <c r="M14" i="6" s="1"/>
  <c r="Q43" i="6" l="1"/>
  <c r="Q99" i="6"/>
  <c r="Q100" i="6"/>
  <c r="Q67" i="6"/>
  <c r="Q51" i="6"/>
  <c r="M52" i="6"/>
  <c r="Q52" i="6"/>
  <c r="M75" i="6"/>
  <c r="Q75" i="6"/>
  <c r="M27" i="6"/>
  <c r="Q27" i="6"/>
  <c r="M28" i="6"/>
  <c r="Q28" i="6"/>
  <c r="M76" i="6"/>
  <c r="Q76" i="6"/>
  <c r="M83" i="6"/>
  <c r="Q83" i="6"/>
  <c r="Q68" i="6"/>
  <c r="M84" i="6"/>
  <c r="Q84" i="6"/>
  <c r="Q19" i="6"/>
  <c r="M19" i="6"/>
  <c r="Q44" i="6"/>
  <c r="M44" i="6"/>
  <c r="Q20" i="6"/>
  <c r="M20" i="6"/>
  <c r="Q11" i="6"/>
  <c r="M11" i="6"/>
  <c r="Q12" i="6"/>
  <c r="M12" i="6"/>
</calcChain>
</file>

<file path=xl/sharedStrings.xml><?xml version="1.0" encoding="utf-8"?>
<sst xmlns="http://schemas.openxmlformats.org/spreadsheetml/2006/main" count="426" uniqueCount="144">
  <si>
    <t>I.</t>
  </si>
  <si>
    <t xml:space="preserve">II. </t>
  </si>
  <si>
    <t>Directions</t>
  </si>
  <si>
    <t>III.</t>
  </si>
  <si>
    <t>Resources</t>
  </si>
  <si>
    <t xml:space="preserve">Residential Waste Stream: </t>
  </si>
  <si>
    <t>https://www2.calrecycle.ca.gov/WasteCharacterization/ResidentialStreams</t>
  </si>
  <si>
    <t>Commercial Waste Stream:</t>
  </si>
  <si>
    <t>https://www2.calrecycle.ca.gov/WasteCharacterization/BusinessGroupStreams</t>
  </si>
  <si>
    <t>Waste Generation rates:</t>
  </si>
  <si>
    <t>https://www2.calrecycle.ca.gov/WasteCharacterization/General/Rates</t>
  </si>
  <si>
    <t>lbs/dwelling unit/day</t>
  </si>
  <si>
    <t>Days in a week</t>
  </si>
  <si>
    <t>Solid Waste lbs/cubic yard (CY) Bin waste density (uncompacted)</t>
  </si>
  <si>
    <t>Compaction Ratio</t>
  </si>
  <si>
    <t>Data</t>
  </si>
  <si>
    <t>Unit</t>
  </si>
  <si>
    <t>Calculation Designation</t>
  </si>
  <si>
    <t>Single Family (1-4 units)</t>
  </si>
  <si>
    <t>Multi Family (5+ units)</t>
  </si>
  <si>
    <t>lbs/employee/day</t>
  </si>
  <si>
    <t>Fast Food Restaurant</t>
  </si>
  <si>
    <t>Restaurant</t>
  </si>
  <si>
    <t>Hotel/motel</t>
  </si>
  <si>
    <t>lbs/seat/day</t>
  </si>
  <si>
    <t>lbs/room/day</t>
  </si>
  <si>
    <t>lbs/student/day</t>
  </si>
  <si>
    <t>Educational facility</t>
  </si>
  <si>
    <t>lbs/person/day</t>
  </si>
  <si>
    <t>Nursing/retirement home</t>
  </si>
  <si>
    <t>Supermarket</t>
  </si>
  <si>
    <t>Shopping Center</t>
  </si>
  <si>
    <t>Waste Generation Data by Category</t>
  </si>
  <si>
    <t>Other Conversation Data</t>
  </si>
  <si>
    <t>Number</t>
  </si>
  <si>
    <t>Select Waste Generation category</t>
  </si>
  <si>
    <t>Data necessary for estimation:</t>
  </si>
  <si>
    <t>Calculation Unit</t>
  </si>
  <si>
    <t># of Dwelling Units</t>
  </si>
  <si>
    <t># of Employees</t>
  </si>
  <si>
    <t># of Seats</t>
  </si>
  <si>
    <t># of Rooms</t>
  </si>
  <si>
    <t># of Students</t>
  </si>
  <si>
    <t># of Persons</t>
  </si>
  <si>
    <t>Square Feet</t>
  </si>
  <si>
    <t>Step 1. Select your business classification</t>
  </si>
  <si>
    <t>Step 2. Enter Metric that is asked for</t>
  </si>
  <si>
    <t>Calculation Factor:</t>
  </si>
  <si>
    <t>Enter the your metric:</t>
  </si>
  <si>
    <t>lbs/square ft/day</t>
  </si>
  <si>
    <t>lbs/sq ft/day</t>
  </si>
  <si>
    <t>Compaction</t>
  </si>
  <si>
    <t>Yes</t>
  </si>
  <si>
    <t>No</t>
  </si>
  <si>
    <t>Will your facility use compactors?</t>
  </si>
  <si>
    <t>Commercial (General)</t>
  </si>
  <si>
    <t>Calculation Units:</t>
  </si>
  <si>
    <t>Facility Metric</t>
  </si>
  <si>
    <t>Calculation Factor</t>
  </si>
  <si>
    <t>Estimated Waste (lbs/day)</t>
  </si>
  <si>
    <t>Waste Generated Weekly</t>
  </si>
  <si>
    <t>Other</t>
  </si>
  <si>
    <t>Waste Studies:</t>
  </si>
  <si>
    <t>https://www2.calrecycle.ca.gov/WasteCharacterization/Study</t>
  </si>
  <si>
    <t>Organics</t>
  </si>
  <si>
    <t>Recycling</t>
  </si>
  <si>
    <t>Solid Waste</t>
  </si>
  <si>
    <t>Recycling (includes fiber, metals, plastics, glass)</t>
  </si>
  <si>
    <t>Other (includes HHW, E-Waste, C&amp;D)</t>
  </si>
  <si>
    <t>Step 3. Review Waste Generation Estimates in the Waste Generation Estimates (WGE) Tab</t>
  </si>
  <si>
    <t xml:space="preserve">A. Select your facility type in the Waste Generation Categories box </t>
  </si>
  <si>
    <t>B. Enter the requested information of your facility into "Metrics" box</t>
  </si>
  <si>
    <t>lbs/week</t>
  </si>
  <si>
    <t>Calculation Category</t>
  </si>
  <si>
    <t>SFD</t>
  </si>
  <si>
    <t>MFD</t>
  </si>
  <si>
    <t>COM</t>
  </si>
  <si>
    <t>Single Family (1-4 units) calculations</t>
  </si>
  <si>
    <t>Multi-Family (5+ units) calculations</t>
  </si>
  <si>
    <t>FOOD</t>
  </si>
  <si>
    <t>LODGING</t>
  </si>
  <si>
    <t>EDUCATION</t>
  </si>
  <si>
    <t>HEALTH</t>
  </si>
  <si>
    <t>FBSTORE</t>
  </si>
  <si>
    <t>Food Service (Restaurant and Fast Food) calculations</t>
  </si>
  <si>
    <t>Hotels/Motel (Lodging) calculations</t>
  </si>
  <si>
    <t>Calculation Category:</t>
  </si>
  <si>
    <t>Educational Facility calculations</t>
  </si>
  <si>
    <t>Nursing/Retirement/Health Facility calculations</t>
  </si>
  <si>
    <t>MI</t>
  </si>
  <si>
    <t>Supermarket and Food/Beverage store calculations</t>
  </si>
  <si>
    <t>Estimated Cubic Yards (CY)/Week</t>
  </si>
  <si>
    <t>Cubic yards (CY)/Week if using compactor</t>
  </si>
  <si>
    <t>Purpose/Disclaimer</t>
  </si>
  <si>
    <t>Food</t>
  </si>
  <si>
    <t>Yard Trimmings</t>
  </si>
  <si>
    <t>2. Enter the necessary information (in the Green boxes)</t>
  </si>
  <si>
    <t>RETAIL</t>
  </si>
  <si>
    <t>Shopping Center and General Retail calculations</t>
  </si>
  <si>
    <t>General Commercial calculations</t>
  </si>
  <si>
    <t>Food Wastes lbs/cubic yard (CY) bin waste density (uncompacted)</t>
  </si>
  <si>
    <t>Organics lbs/cubic yard (CY) Bin waste density (uncompacted)</t>
  </si>
  <si>
    <t>EPA Volume-to-Weight study:</t>
  </si>
  <si>
    <t>https://www.epa.gov/sites/default/files/2016-04/documents/volume_to_weight_conversion_factors_memorandum_04192016_508fnl.pdf</t>
  </si>
  <si>
    <t>Commingled Recycling lbs/cubic yard (CY) Bin waste density (uncompacted)</t>
  </si>
  <si>
    <t>All information used in the calculations can be found in the following locations/documents:</t>
  </si>
  <si>
    <t>Solid Waste Estimation Calculator</t>
  </si>
  <si>
    <t>Food Scraps</t>
  </si>
  <si>
    <t>IV.</t>
  </si>
  <si>
    <t>Version History</t>
  </si>
  <si>
    <t>Version</t>
  </si>
  <si>
    <t>Release Date</t>
  </si>
  <si>
    <t>Notes</t>
  </si>
  <si>
    <t>Initial Release</t>
  </si>
  <si>
    <t>Instructions/Notes</t>
  </si>
  <si>
    <t>C. Select whether or not compactors will be used</t>
  </si>
  <si>
    <t>Edits and formatting</t>
  </si>
  <si>
    <t>4. Screenshot the Calculations box for your facility type and place it into your Solid Waste Management Plan submittal</t>
  </si>
  <si>
    <t>1. Go to the tab labeled "Calculation Sheet" (Green colored tab)</t>
  </si>
  <si>
    <t>3. Go to the WGE tab (Blue colored tab)  and hide (or delete) the tables that do not have any values by clicking the "-" to minimize boxes on the left side of the sheet.</t>
  </si>
  <si>
    <t>This document is part of the City of Milpitas's Solid Waste Development Guildelines, to assist with estimating solid waste material at a particular type of facility. All information used in the development of the calculation formulas was found in resources from CalRecycle's and the EPA's website. Please note that these numbers represent an average and your facility may produce more or less than the estimated amount. We cannot verify the accuracy of the calculations but it can be used as an estimate for planning purposes. Referenced websites and data can be found in the Resource Links section of these notes.
Notes: 
The Organics material waste streams (Food Waste and Yard Trimmings) should not be placed into compactors; to reflect this, even if you select "Yes" for compactor use, the calculations would not be made for these streams. 
The Other material waste stream does not have cubic yard calculations because these are specialized waste material that need to be handled through specialized programs (e.g.: The County of Santa Clara's Small Quantity Generator HHW program, specialized E-waste collection companies, pallets that are recycled/reused, etc.)</t>
  </si>
  <si>
    <t>Waste Generation Estimates</t>
  </si>
  <si>
    <t>V.</t>
  </si>
  <si>
    <t>Contact and Questions</t>
  </si>
  <si>
    <t xml:space="preserve">If there are any question regarding this waste estimation calculator, contact the Solid Waste Team at: </t>
  </si>
  <si>
    <t>Added Contact information for questions</t>
  </si>
  <si>
    <t>Estimated Gallons/Week</t>
  </si>
  <si>
    <t>MilpitasRecycles@milpitas.gov</t>
  </si>
  <si>
    <t>Gallons per cubic yard (CY) (wet)</t>
  </si>
  <si>
    <t>Gallons per cubic yard (CY) (dry)</t>
  </si>
  <si>
    <t>Added conversion from cubic yards to gallons, updated contact email, and separated gallon conversion for Recycling due it being a "Dry" stream</t>
  </si>
  <si>
    <t>SMI</t>
  </si>
  <si>
    <t>Added Small Manufacturing (SMI) and Office/Administration (OA) as a category, adjusted calculations based on reworld observations</t>
  </si>
  <si>
    <t>Office/Administration</t>
  </si>
  <si>
    <t>OA</t>
  </si>
  <si>
    <t>Industrial/Manufacturing (more than 400 employees) calculations</t>
  </si>
  <si>
    <t>Small Manufacturing/Industrial (less than 400 employees) calculations</t>
  </si>
  <si>
    <t>Office/Administration calculations</t>
  </si>
  <si>
    <t>Manufacturing/Industrial (More than 500 employees)</t>
  </si>
  <si>
    <t>Small Manufacturing/Industrial (less than 500 employees)</t>
  </si>
  <si>
    <t>Adjusted Estimated Recycling based on feedback from field analyses</t>
  </si>
  <si>
    <t>Solid Waste (mixed residues)</t>
  </si>
  <si>
    <t>Corrected mispelled word(s) and formatting issues</t>
  </si>
  <si>
    <t>Corrected calculation formulas for several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</si>
</sst>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i/>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99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80">
    <xf numFmtId="0" fontId="0" fillId="0" borderId="0" xfId="0"/>
    <xf numFmtId="0" fontId="1" fillId="0" borderId="0" xfId="0" applyFont="1"/>
    <xf numFmtId="0" fontId="0" fillId="2" borderId="1" xfId="0" applyFill="1" applyBorder="1"/>
    <xf numFmtId="0" fontId="0" fillId="0" borderId="0" xfId="0" applyAlignment="1">
      <alignment horizontal="center" vertical="center"/>
    </xf>
    <xf numFmtId="0" fontId="0" fillId="2" borderId="1" xfId="0" applyFill="1" applyBorder="1" applyAlignment="1">
      <alignment horizontal="center"/>
    </xf>
    <xf numFmtId="0" fontId="0" fillId="0" borderId="1" xfId="0" applyBorder="1" applyAlignment="1">
      <alignment horizontal="center"/>
    </xf>
    <xf numFmtId="0" fontId="0" fillId="0" borderId="1" xfId="0" applyBorder="1"/>
    <xf numFmtId="0" fontId="1" fillId="3" borderId="1" xfId="0" applyFont="1" applyFill="1" applyBorder="1"/>
    <xf numFmtId="0" fontId="1" fillId="3" borderId="1" xfId="0" applyFont="1" applyFill="1" applyBorder="1" applyAlignment="1">
      <alignment horizontal="center"/>
    </xf>
    <xf numFmtId="10" fontId="0" fillId="0" borderId="0" xfId="2" applyNumberFormat="1" applyFont="1" applyAlignment="1">
      <alignment horizontal="center"/>
    </xf>
    <xf numFmtId="0" fontId="4" fillId="0" borderId="0" xfId="0" applyFont="1"/>
    <xf numFmtId="0" fontId="1" fillId="0" borderId="0" xfId="0" applyFont="1" applyAlignment="1">
      <alignment horizontal="center"/>
    </xf>
    <xf numFmtId="2" fontId="0" fillId="0" borderId="1" xfId="0" applyNumberFormat="1" applyBorder="1"/>
    <xf numFmtId="2" fontId="0" fillId="0" borderId="0" xfId="0" applyNumberFormat="1" applyAlignment="1">
      <alignment horizontal="center"/>
    </xf>
    <xf numFmtId="0" fontId="0" fillId="0" borderId="4" xfId="0" applyBorder="1" applyAlignment="1">
      <alignment horizontal="center"/>
    </xf>
    <xf numFmtId="0" fontId="6" fillId="0" borderId="0" xfId="0" applyFont="1"/>
    <xf numFmtId="0" fontId="7" fillId="0" borderId="0" xfId="0" applyFont="1"/>
    <xf numFmtId="0" fontId="7" fillId="0" borderId="0" xfId="0" applyFont="1" applyAlignment="1">
      <alignment horizontal="center"/>
    </xf>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1" applyFont="1"/>
    <xf numFmtId="0" fontId="7" fillId="0" borderId="0" xfId="0" applyFont="1" applyAlignment="1">
      <alignment horizontal="center" vertical="center"/>
    </xf>
    <xf numFmtId="0" fontId="7" fillId="4" borderId="1" xfId="0" applyFont="1" applyFill="1" applyBorder="1" applyAlignment="1">
      <alignment vertical="center"/>
    </xf>
    <xf numFmtId="164" fontId="7" fillId="0" borderId="1" xfId="0" applyNumberFormat="1" applyFont="1" applyBorder="1" applyAlignment="1">
      <alignment horizontal="center"/>
    </xf>
    <xf numFmtId="0" fontId="7" fillId="0" borderId="0" xfId="0" applyFont="1" applyAlignment="1">
      <alignment horizontal="left" wrapText="1"/>
    </xf>
    <xf numFmtId="0" fontId="2" fillId="0" borderId="0" xfId="1"/>
    <xf numFmtId="0" fontId="0" fillId="5" borderId="2" xfId="0" applyFill="1" applyBorder="1" applyAlignment="1">
      <alignment horizontal="left"/>
    </xf>
    <xf numFmtId="0" fontId="0" fillId="5" borderId="5" xfId="0" applyFill="1" applyBorder="1" applyAlignment="1">
      <alignment horizontal="left"/>
    </xf>
    <xf numFmtId="0" fontId="0" fillId="5" borderId="3" xfId="0" applyFill="1" applyBorder="1" applyAlignment="1">
      <alignment horizontal="left"/>
    </xf>
    <xf numFmtId="2" fontId="0" fillId="0" borderId="2" xfId="0" applyNumberFormat="1" applyBorder="1" applyAlignment="1">
      <alignment horizontal="center"/>
    </xf>
    <xf numFmtId="2" fontId="0" fillId="0" borderId="3" xfId="0" applyNumberFormat="1" applyBorder="1" applyAlignment="1">
      <alignment horizontal="center"/>
    </xf>
    <xf numFmtId="0" fontId="0" fillId="7" borderId="2" xfId="0" applyFill="1" applyBorder="1" applyAlignment="1">
      <alignment horizontal="left"/>
    </xf>
    <xf numFmtId="0" fontId="0" fillId="7" borderId="5" xfId="0" applyFill="1" applyBorder="1" applyAlignment="1">
      <alignment horizontal="left"/>
    </xf>
    <xf numFmtId="0" fontId="0" fillId="7" borderId="3" xfId="0" applyFill="1" applyBorder="1" applyAlignment="1">
      <alignment horizontal="left"/>
    </xf>
    <xf numFmtId="0" fontId="0" fillId="6" borderId="2" xfId="0" applyFill="1" applyBorder="1" applyAlignment="1">
      <alignment horizontal="left"/>
    </xf>
    <xf numFmtId="0" fontId="0" fillId="6" borderId="5" xfId="0" applyFill="1" applyBorder="1" applyAlignment="1">
      <alignment horizontal="left"/>
    </xf>
    <xf numFmtId="0" fontId="0" fillId="6" borderId="3" xfId="0" applyFill="1" applyBorder="1" applyAlignment="1">
      <alignment horizontal="left"/>
    </xf>
    <xf numFmtId="0" fontId="0" fillId="2" borderId="2" xfId="0" applyFill="1" applyBorder="1" applyAlignment="1">
      <alignment horizontal="left"/>
    </xf>
    <xf numFmtId="0" fontId="0" fillId="2" borderId="5" xfId="0" applyFill="1" applyBorder="1" applyAlignment="1">
      <alignment horizontal="left"/>
    </xf>
    <xf numFmtId="0" fontId="0" fillId="2" borderId="3" xfId="0" applyFill="1" applyBorder="1" applyAlignment="1">
      <alignment horizontal="left"/>
    </xf>
    <xf numFmtId="14" fontId="7" fillId="0" borderId="1" xfId="0" applyNumberFormat="1" applyFont="1" applyBorder="1" applyAlignment="1">
      <alignment horizontal="center"/>
    </xf>
    <xf numFmtId="0" fontId="7" fillId="0" borderId="1" xfId="0" applyFont="1" applyBorder="1" applyAlignment="1">
      <alignment horizontal="left" vertical="top"/>
    </xf>
    <xf numFmtId="0" fontId="7" fillId="0" borderId="0" xfId="0" applyFont="1" applyAlignment="1">
      <alignment horizontal="left" wrapText="1"/>
    </xf>
    <xf numFmtId="0" fontId="7" fillId="4" borderId="1" xfId="0" applyFont="1" applyFill="1" applyBorder="1" applyAlignment="1">
      <alignment horizontal="center" vertical="center"/>
    </xf>
    <xf numFmtId="0" fontId="7" fillId="0" borderId="1" xfId="0" applyFont="1" applyBorder="1" applyAlignment="1">
      <alignment horizontal="center"/>
    </xf>
    <xf numFmtId="0" fontId="7" fillId="4" borderId="1" xfId="0" applyFont="1" applyFill="1" applyBorder="1" applyAlignment="1">
      <alignment horizontal="left" vertical="center"/>
    </xf>
    <xf numFmtId="0" fontId="5" fillId="0" borderId="0" xfId="0" applyFont="1" applyAlignment="1">
      <alignment horizontal="left" vertical="center"/>
    </xf>
    <xf numFmtId="0" fontId="0" fillId="2" borderId="1" xfId="0" applyFill="1" applyBorder="1" applyAlignment="1">
      <alignment horizontal="center"/>
    </xf>
    <xf numFmtId="0" fontId="0" fillId="7" borderId="2" xfId="0" applyFill="1" applyBorder="1" applyAlignment="1">
      <alignment horizontal="left"/>
    </xf>
    <xf numFmtId="0" fontId="0" fillId="7" borderId="5" xfId="0" applyFill="1" applyBorder="1" applyAlignment="1">
      <alignment horizontal="left"/>
    </xf>
    <xf numFmtId="0" fontId="0" fillId="7" borderId="3" xfId="0" applyFill="1" applyBorder="1" applyAlignment="1">
      <alignment horizontal="left"/>
    </xf>
    <xf numFmtId="0" fontId="0" fillId="7" borderId="2" xfId="0" applyFill="1" applyBorder="1" applyAlignment="1">
      <alignment horizontal="center"/>
    </xf>
    <xf numFmtId="0" fontId="0" fillId="7" borderId="3" xfId="0" applyFill="1" applyBorder="1" applyAlignment="1">
      <alignment horizontal="center"/>
    </xf>
    <xf numFmtId="0" fontId="0" fillId="2" borderId="2" xfId="0" applyFill="1" applyBorder="1" applyAlignment="1">
      <alignment horizontal="left"/>
    </xf>
    <xf numFmtId="0" fontId="0" fillId="2" borderId="5" xfId="0" applyFill="1" applyBorder="1" applyAlignment="1">
      <alignment horizontal="left"/>
    </xf>
    <xf numFmtId="0" fontId="0" fillId="2" borderId="3"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6" borderId="2" xfId="0" applyFill="1" applyBorder="1" applyAlignment="1">
      <alignment horizontal="left"/>
    </xf>
    <xf numFmtId="0" fontId="0" fillId="6" borderId="5" xfId="0" applyFill="1" applyBorder="1" applyAlignment="1">
      <alignment horizontal="left"/>
    </xf>
    <xf numFmtId="0" fontId="0" fillId="6" borderId="3" xfId="0" applyFill="1" applyBorder="1" applyAlignment="1">
      <alignment horizontal="left"/>
    </xf>
    <xf numFmtId="0" fontId="0" fillId="4" borderId="1" xfId="0" applyFill="1" applyBorder="1" applyAlignment="1">
      <alignment horizontal="left"/>
    </xf>
    <xf numFmtId="0" fontId="0" fillId="4" borderId="2" xfId="0" applyFill="1" applyBorder="1" applyAlignment="1">
      <alignment horizontal="center"/>
    </xf>
    <xf numFmtId="0" fontId="0" fillId="4" borderId="3" xfId="0" applyFill="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0" fontId="0" fillId="5" borderId="2" xfId="0" applyFill="1" applyBorder="1" applyAlignment="1">
      <alignment horizontal="left"/>
    </xf>
    <xf numFmtId="0" fontId="0" fillId="5" borderId="5" xfId="0" applyFill="1" applyBorder="1" applyAlignment="1">
      <alignment horizontal="left"/>
    </xf>
    <xf numFmtId="0" fontId="0" fillId="5" borderId="3" xfId="0" applyFill="1" applyBorder="1" applyAlignment="1">
      <alignment horizontal="left"/>
    </xf>
    <xf numFmtId="0" fontId="0" fillId="5" borderId="2" xfId="0" applyFill="1" applyBorder="1" applyAlignment="1">
      <alignment horizontal="center"/>
    </xf>
    <xf numFmtId="0" fontId="0" fillId="5" borderId="3" xfId="0" applyFill="1" applyBorder="1" applyAlignment="1">
      <alignment horizontal="center"/>
    </xf>
    <xf numFmtId="0" fontId="0" fillId="2" borderId="1" xfId="0" applyFill="1" applyBorder="1" applyAlignment="1">
      <alignment horizontal="left"/>
    </xf>
    <xf numFmtId="0" fontId="0" fillId="6" borderId="1" xfId="0" applyFill="1" applyBorder="1" applyAlignment="1">
      <alignment horizontal="left"/>
    </xf>
    <xf numFmtId="0" fontId="0" fillId="5" borderId="1" xfId="0" applyFill="1" applyBorder="1" applyAlignment="1">
      <alignment horizontal="left"/>
    </xf>
    <xf numFmtId="0" fontId="0" fillId="4" borderId="1" xfId="0" applyFill="1" applyBorder="1" applyAlignment="1">
      <alignment horizontal="center"/>
    </xf>
    <xf numFmtId="2" fontId="0" fillId="0" borderId="1" xfId="0" applyNumberFormat="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0" fillId="5" borderId="1" xfId="0" applyFill="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CC99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9</xdr:col>
      <xdr:colOff>219842</xdr:colOff>
      <xdr:row>10</xdr:row>
      <xdr:rowOff>83594</xdr:rowOff>
    </xdr:from>
    <xdr:to>
      <xdr:col>14</xdr:col>
      <xdr:colOff>571500</xdr:colOff>
      <xdr:row>18</xdr:row>
      <xdr:rowOff>62438</xdr:rowOff>
    </xdr:to>
    <xdr:pic>
      <xdr:nvPicPr>
        <xdr:cNvPr id="3" name="Picture 2">
          <a:extLst>
            <a:ext uri="{FF2B5EF4-FFF2-40B4-BE49-F238E27FC236}">
              <a16:creationId xmlns:a16="http://schemas.microsoft.com/office/drawing/2014/main" id="{130AC45F-62CF-4D59-B934-8FDE442EA62A}"/>
            </a:ext>
          </a:extLst>
        </xdr:cNvPr>
        <xdr:cNvPicPr>
          <a:picLocks noChangeAspect="1"/>
        </xdr:cNvPicPr>
      </xdr:nvPicPr>
      <xdr:blipFill>
        <a:blip xmlns:r="http://schemas.openxmlformats.org/officeDocument/2006/relationships" r:embed="rId1"/>
        <a:stretch>
          <a:fillRect/>
        </a:stretch>
      </xdr:blipFill>
      <xdr:spPr>
        <a:xfrm>
          <a:off x="5665901" y="3714300"/>
          <a:ext cx="3377246" cy="1592491"/>
        </a:xfrm>
        <a:prstGeom prst="rect">
          <a:avLst/>
        </a:prstGeom>
        <a:ln>
          <a:solidFill>
            <a:schemeClr val="tx1"/>
          </a:solidFill>
        </a:ln>
      </xdr:spPr>
    </xdr:pic>
    <xdr:clientData/>
  </xdr:twoCellAnchor>
  <xdr:twoCellAnchor>
    <xdr:from>
      <xdr:col>17</xdr:col>
      <xdr:colOff>644899</xdr:colOff>
      <xdr:row>12</xdr:row>
      <xdr:rowOff>123826</xdr:rowOff>
    </xdr:from>
    <xdr:to>
      <xdr:col>17</xdr:col>
      <xdr:colOff>1175340</xdr:colOff>
      <xdr:row>23</xdr:row>
      <xdr:rowOff>188819</xdr:rowOff>
    </xdr:to>
    <xdr:grpSp>
      <xdr:nvGrpSpPr>
        <xdr:cNvPr id="2" name="Group 1">
          <a:extLst>
            <a:ext uri="{FF2B5EF4-FFF2-40B4-BE49-F238E27FC236}">
              <a16:creationId xmlns:a16="http://schemas.microsoft.com/office/drawing/2014/main" id="{1366F1C4-0779-4F31-A823-2CB49D7967DE}"/>
            </a:ext>
          </a:extLst>
        </xdr:cNvPr>
        <xdr:cNvGrpSpPr/>
      </xdr:nvGrpSpPr>
      <xdr:grpSpPr>
        <a:xfrm>
          <a:off x="11122399" y="4143376"/>
          <a:ext cx="530441" cy="2265268"/>
          <a:chOff x="10931899" y="4157944"/>
          <a:chExt cx="530441" cy="2283757"/>
        </a:xfrm>
      </xdr:grpSpPr>
      <xdr:pic>
        <xdr:nvPicPr>
          <xdr:cNvPr id="5" name="Picture 4">
            <a:extLst>
              <a:ext uri="{FF2B5EF4-FFF2-40B4-BE49-F238E27FC236}">
                <a16:creationId xmlns:a16="http://schemas.microsoft.com/office/drawing/2014/main" id="{0DCDCBD7-ABC5-4C48-96F7-17BD860F054A}"/>
              </a:ext>
            </a:extLst>
          </xdr:cNvPr>
          <xdr:cNvPicPr>
            <a:picLocks noChangeAspect="1"/>
          </xdr:cNvPicPr>
        </xdr:nvPicPr>
        <xdr:blipFill>
          <a:blip xmlns:r="http://schemas.openxmlformats.org/officeDocument/2006/relationships" r:embed="rId2"/>
          <a:stretch>
            <a:fillRect/>
          </a:stretch>
        </xdr:blipFill>
        <xdr:spPr>
          <a:xfrm>
            <a:off x="11049244" y="4157944"/>
            <a:ext cx="413096" cy="2171595"/>
          </a:xfrm>
          <a:prstGeom prst="rect">
            <a:avLst/>
          </a:prstGeom>
          <a:ln>
            <a:solidFill>
              <a:schemeClr val="tx1"/>
            </a:solidFill>
          </a:ln>
        </xdr:spPr>
      </xdr:pic>
      <xdr:sp macro="" textlink="">
        <xdr:nvSpPr>
          <xdr:cNvPr id="6" name="Oval 5">
            <a:extLst>
              <a:ext uri="{FF2B5EF4-FFF2-40B4-BE49-F238E27FC236}">
                <a16:creationId xmlns:a16="http://schemas.microsoft.com/office/drawing/2014/main" id="{58501F02-A709-4D5A-8141-91E385A2B1D5}"/>
              </a:ext>
            </a:extLst>
          </xdr:cNvPr>
          <xdr:cNvSpPr/>
        </xdr:nvSpPr>
        <xdr:spPr>
          <a:xfrm>
            <a:off x="10931899" y="6057339"/>
            <a:ext cx="361950" cy="38436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257735</xdr:colOff>
      <xdr:row>8</xdr:row>
      <xdr:rowOff>44823</xdr:rowOff>
    </xdr:from>
    <xdr:to>
      <xdr:col>5</xdr:col>
      <xdr:colOff>505215</xdr:colOff>
      <xdr:row>9</xdr:row>
      <xdr:rowOff>128907</xdr:rowOff>
    </xdr:to>
    <xdr:pic>
      <xdr:nvPicPr>
        <xdr:cNvPr id="8" name="Picture 7">
          <a:extLst>
            <a:ext uri="{FF2B5EF4-FFF2-40B4-BE49-F238E27FC236}">
              <a16:creationId xmlns:a16="http://schemas.microsoft.com/office/drawing/2014/main" id="{8FE55052-66EA-479A-BBD8-1EB742785CF9}"/>
            </a:ext>
          </a:extLst>
        </xdr:cNvPr>
        <xdr:cNvPicPr>
          <a:picLocks noChangeAspect="1"/>
        </xdr:cNvPicPr>
      </xdr:nvPicPr>
      <xdr:blipFill>
        <a:blip xmlns:r="http://schemas.openxmlformats.org/officeDocument/2006/relationships" r:embed="rId3"/>
        <a:stretch>
          <a:fillRect/>
        </a:stretch>
      </xdr:blipFill>
      <xdr:spPr>
        <a:xfrm>
          <a:off x="862853" y="3272117"/>
          <a:ext cx="2791215" cy="285790"/>
        </a:xfrm>
        <a:prstGeom prst="rect">
          <a:avLst/>
        </a:prstGeom>
      </xdr:spPr>
    </xdr:pic>
    <xdr:clientData/>
  </xdr:twoCellAnchor>
  <xdr:twoCellAnchor editAs="oneCell">
    <xdr:from>
      <xdr:col>1</xdr:col>
      <xdr:colOff>212911</xdr:colOff>
      <xdr:row>20</xdr:row>
      <xdr:rowOff>78441</xdr:rowOff>
    </xdr:from>
    <xdr:to>
      <xdr:col>5</xdr:col>
      <xdr:colOff>460391</xdr:colOff>
      <xdr:row>21</xdr:row>
      <xdr:rowOff>152999</xdr:rowOff>
    </xdr:to>
    <xdr:pic>
      <xdr:nvPicPr>
        <xdr:cNvPr id="9" name="Picture 8">
          <a:extLst>
            <a:ext uri="{FF2B5EF4-FFF2-40B4-BE49-F238E27FC236}">
              <a16:creationId xmlns:a16="http://schemas.microsoft.com/office/drawing/2014/main" id="{2C46AFBF-8702-43C5-9507-43ACCB3FB352}"/>
            </a:ext>
          </a:extLst>
        </xdr:cNvPr>
        <xdr:cNvPicPr>
          <a:picLocks noChangeAspect="1"/>
        </xdr:cNvPicPr>
      </xdr:nvPicPr>
      <xdr:blipFill>
        <a:blip xmlns:r="http://schemas.openxmlformats.org/officeDocument/2006/relationships" r:embed="rId4"/>
        <a:stretch>
          <a:fillRect/>
        </a:stretch>
      </xdr:blipFill>
      <xdr:spPr>
        <a:xfrm>
          <a:off x="818029" y="5726206"/>
          <a:ext cx="2791215" cy="276264"/>
        </a:xfrm>
        <a:prstGeom prst="rect">
          <a:avLst/>
        </a:prstGeom>
      </xdr:spPr>
    </xdr:pic>
    <xdr:clientData/>
  </xdr:twoCellAnchor>
  <xdr:twoCellAnchor editAs="oneCell">
    <xdr:from>
      <xdr:col>1</xdr:col>
      <xdr:colOff>22413</xdr:colOff>
      <xdr:row>24</xdr:row>
      <xdr:rowOff>33619</xdr:rowOff>
    </xdr:from>
    <xdr:to>
      <xdr:col>15</xdr:col>
      <xdr:colOff>156884</xdr:colOff>
      <xdr:row>32</xdr:row>
      <xdr:rowOff>141644</xdr:rowOff>
    </xdr:to>
    <xdr:pic>
      <xdr:nvPicPr>
        <xdr:cNvPr id="4" name="Picture 3">
          <a:extLst>
            <a:ext uri="{FF2B5EF4-FFF2-40B4-BE49-F238E27FC236}">
              <a16:creationId xmlns:a16="http://schemas.microsoft.com/office/drawing/2014/main" id="{F73313C8-31A7-416A-8E85-A9CF98C63028}"/>
            </a:ext>
          </a:extLst>
        </xdr:cNvPr>
        <xdr:cNvPicPr>
          <a:picLocks noChangeAspect="1"/>
        </xdr:cNvPicPr>
      </xdr:nvPicPr>
      <xdr:blipFill>
        <a:blip xmlns:r="http://schemas.openxmlformats.org/officeDocument/2006/relationships" r:embed="rId5"/>
        <a:stretch>
          <a:fillRect/>
        </a:stretch>
      </xdr:blipFill>
      <xdr:spPr>
        <a:xfrm>
          <a:off x="672354" y="6493811"/>
          <a:ext cx="9356912" cy="172167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152400</xdr:colOff>
      <xdr:row>4</xdr:row>
      <xdr:rowOff>0</xdr:rowOff>
    </xdr:to>
    <xdr:pic>
      <xdr:nvPicPr>
        <xdr:cNvPr id="3" name="Picture 2">
          <a:extLst>
            <a:ext uri="{FF2B5EF4-FFF2-40B4-BE49-F238E27FC236}">
              <a16:creationId xmlns:a16="http://schemas.microsoft.com/office/drawing/2014/main" id="{E830BA3D-5F63-4842-BFF1-B4B1B0091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2000" cy="762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2.calrecycle.ca.gov/WasteCharacterization/General/Rates" TargetMode="External"/><Relationship Id="rId7" Type="http://schemas.openxmlformats.org/officeDocument/2006/relationships/printerSettings" Target="../printerSettings/printerSettings1.bin"/><Relationship Id="rId2" Type="http://schemas.openxmlformats.org/officeDocument/2006/relationships/hyperlink" Target="https://www2.calrecycle.ca.gov/WasteCharacterization/BusinessGroupStreams" TargetMode="External"/><Relationship Id="rId1" Type="http://schemas.openxmlformats.org/officeDocument/2006/relationships/hyperlink" Target="https://www2.calrecycle.ca.gov/WasteCharacterization/ResidentialStreams" TargetMode="External"/><Relationship Id="rId6" Type="http://schemas.openxmlformats.org/officeDocument/2006/relationships/hyperlink" Target="mailto:MilpitasRecycles@milpitas.gov" TargetMode="External"/><Relationship Id="rId5" Type="http://schemas.openxmlformats.org/officeDocument/2006/relationships/hyperlink" Target="https://www.epa.gov/sites/default/files/2016-04/documents/volume_to_weight_conversion_factors_memorandum_04192016_508fnl.pdf" TargetMode="External"/><Relationship Id="rId4" Type="http://schemas.openxmlformats.org/officeDocument/2006/relationships/hyperlink" Target="https://www2.calrecycle.ca.gov/WasteCharacterization/Stud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D7E18-827C-4109-800C-A009F9BD5DF9}">
  <dimension ref="A1:X57"/>
  <sheetViews>
    <sheetView showGridLines="0" tabSelected="1" zoomScaleNormal="100" workbookViewId="0">
      <selection activeCell="R8" sqref="R8"/>
    </sheetView>
  </sheetViews>
  <sheetFormatPr defaultColWidth="9.140625" defaultRowHeight="15.75" x14ac:dyDescent="0.25"/>
  <cols>
    <col min="1" max="3" width="9.140625" style="16"/>
    <col min="4" max="4" width="10.85546875" style="16" customWidth="1"/>
    <col min="5" max="17" width="9.140625" style="16"/>
    <col min="18" max="18" width="19.42578125" style="16" customWidth="1"/>
    <col min="19" max="16384" width="9.140625" style="16"/>
  </cols>
  <sheetData>
    <row r="1" spans="1:24" x14ac:dyDescent="0.25">
      <c r="A1" s="15" t="s">
        <v>114</v>
      </c>
    </row>
    <row r="3" spans="1:24" x14ac:dyDescent="0.25">
      <c r="A3" s="17" t="s">
        <v>0</v>
      </c>
      <c r="B3" s="15" t="s">
        <v>93</v>
      </c>
    </row>
    <row r="4" spans="1:24" ht="143.25" customHeight="1" x14ac:dyDescent="0.25">
      <c r="B4" s="43" t="s">
        <v>120</v>
      </c>
      <c r="C4" s="43"/>
      <c r="D4" s="43"/>
      <c r="E4" s="43"/>
      <c r="F4" s="43"/>
      <c r="G4" s="43"/>
      <c r="H4" s="43"/>
      <c r="I4" s="43"/>
      <c r="J4" s="43"/>
      <c r="K4" s="43"/>
      <c r="L4" s="43"/>
      <c r="M4" s="43"/>
      <c r="N4" s="43"/>
      <c r="O4" s="43"/>
      <c r="P4" s="43"/>
      <c r="Q4" s="43"/>
      <c r="R4" s="43"/>
      <c r="S4" s="43"/>
      <c r="T4" s="43"/>
      <c r="U4" s="43"/>
      <c r="V4" s="43"/>
      <c r="W4" s="43"/>
      <c r="X4" s="43"/>
    </row>
    <row r="5" spans="1:24" x14ac:dyDescent="0.25">
      <c r="B5" s="43"/>
      <c r="C5" s="43"/>
      <c r="D5" s="43"/>
      <c r="E5" s="43"/>
      <c r="F5" s="43"/>
      <c r="G5" s="43"/>
      <c r="H5" s="43"/>
      <c r="I5" s="43"/>
      <c r="J5" s="43"/>
      <c r="K5" s="43"/>
      <c r="L5" s="43"/>
      <c r="M5" s="43"/>
      <c r="N5" s="43"/>
      <c r="O5" s="43"/>
      <c r="P5" s="43"/>
      <c r="Q5" s="43"/>
      <c r="R5" s="43"/>
      <c r="S5" s="43"/>
      <c r="T5" s="43"/>
      <c r="U5" s="43"/>
      <c r="V5" s="43"/>
      <c r="W5" s="43"/>
      <c r="X5" s="43"/>
    </row>
    <row r="6" spans="1:24" x14ac:dyDescent="0.25">
      <c r="B6" s="25"/>
      <c r="C6" s="25"/>
      <c r="D6" s="25"/>
      <c r="E6" s="25"/>
      <c r="F6" s="25"/>
      <c r="G6" s="25"/>
      <c r="H6" s="25"/>
      <c r="I6" s="25"/>
      <c r="J6" s="25"/>
      <c r="K6" s="25"/>
      <c r="L6" s="25"/>
      <c r="M6" s="25"/>
      <c r="N6" s="25"/>
      <c r="O6" s="25"/>
      <c r="P6" s="25"/>
      <c r="Q6" s="25"/>
      <c r="R6" s="25"/>
      <c r="S6" s="25"/>
      <c r="T6" s="25"/>
      <c r="U6" s="25"/>
      <c r="V6" s="25"/>
      <c r="W6" s="25"/>
      <c r="X6" s="25"/>
    </row>
    <row r="7" spans="1:24" x14ac:dyDescent="0.25">
      <c r="A7" s="17" t="s">
        <v>1</v>
      </c>
      <c r="B7" s="15" t="s">
        <v>2</v>
      </c>
    </row>
    <row r="8" spans="1:24" x14ac:dyDescent="0.25">
      <c r="B8" s="16" t="s">
        <v>118</v>
      </c>
    </row>
    <row r="12" spans="1:24" x14ac:dyDescent="0.25">
      <c r="B12" s="16" t="s">
        <v>96</v>
      </c>
    </row>
    <row r="13" spans="1:24" x14ac:dyDescent="0.25">
      <c r="C13" s="16" t="s">
        <v>70</v>
      </c>
    </row>
    <row r="14" spans="1:24" x14ac:dyDescent="0.25">
      <c r="C14" s="16" t="s">
        <v>71</v>
      </c>
    </row>
    <row r="15" spans="1:24" x14ac:dyDescent="0.25">
      <c r="C15" s="16" t="s">
        <v>115</v>
      </c>
    </row>
    <row r="20" spans="1:18" x14ac:dyDescent="0.25">
      <c r="B20" s="16" t="s">
        <v>119</v>
      </c>
    </row>
    <row r="24" spans="1:18" x14ac:dyDescent="0.25">
      <c r="B24" s="16" t="s">
        <v>117</v>
      </c>
    </row>
    <row r="27" spans="1:18" x14ac:dyDescent="0.25">
      <c r="A27" s="17"/>
      <c r="B27" s="15"/>
    </row>
    <row r="28" spans="1:18" x14ac:dyDescent="0.25">
      <c r="B28" s="18"/>
      <c r="C28" s="18"/>
      <c r="D28" s="18"/>
      <c r="E28" s="18"/>
      <c r="F28" s="18"/>
      <c r="G28" s="18"/>
      <c r="H28" s="18"/>
      <c r="I28" s="18"/>
      <c r="J28" s="18"/>
      <c r="K28" s="18"/>
      <c r="L28" s="18"/>
      <c r="M28" s="18"/>
      <c r="N28" s="18"/>
      <c r="O28" s="18"/>
      <c r="P28" s="18"/>
      <c r="Q28" s="18"/>
      <c r="R28" s="18"/>
    </row>
    <row r="29" spans="1:18" x14ac:dyDescent="0.25">
      <c r="B29" s="18"/>
      <c r="C29" s="18"/>
      <c r="D29" s="18"/>
      <c r="E29" s="18"/>
      <c r="F29" s="18"/>
      <c r="G29" s="18"/>
      <c r="H29" s="18"/>
      <c r="I29" s="18"/>
      <c r="J29" s="18"/>
      <c r="K29" s="18"/>
      <c r="L29" s="18"/>
      <c r="M29" s="18"/>
      <c r="N29" s="18"/>
      <c r="O29" s="18"/>
      <c r="P29" s="18"/>
      <c r="Q29" s="18"/>
      <c r="R29" s="18"/>
    </row>
    <row r="30" spans="1:18" x14ac:dyDescent="0.25">
      <c r="B30" s="19"/>
      <c r="C30" s="20"/>
      <c r="D30" s="20"/>
      <c r="E30" s="20"/>
      <c r="F30" s="20"/>
      <c r="G30" s="20"/>
      <c r="H30" s="20"/>
      <c r="I30" s="20"/>
      <c r="J30" s="20"/>
      <c r="K30" s="20"/>
      <c r="L30" s="20"/>
      <c r="M30" s="20"/>
      <c r="N30" s="20"/>
      <c r="O30" s="20"/>
      <c r="P30" s="20"/>
      <c r="Q30" s="20"/>
      <c r="R30" s="20"/>
    </row>
    <row r="31" spans="1:18" x14ac:dyDescent="0.25">
      <c r="B31" s="19"/>
      <c r="C31" s="20"/>
      <c r="D31" s="20"/>
      <c r="E31" s="20"/>
      <c r="F31" s="20"/>
      <c r="G31" s="20"/>
      <c r="H31" s="20"/>
      <c r="I31" s="20"/>
      <c r="J31" s="20"/>
      <c r="K31" s="20"/>
      <c r="L31" s="20"/>
      <c r="M31" s="20"/>
      <c r="N31" s="20"/>
      <c r="O31" s="20"/>
      <c r="P31" s="20"/>
      <c r="Q31" s="20"/>
      <c r="R31" s="20"/>
    </row>
    <row r="32" spans="1:18" x14ac:dyDescent="0.25">
      <c r="B32" s="19"/>
      <c r="C32" s="20"/>
      <c r="D32" s="20"/>
      <c r="E32" s="20"/>
      <c r="F32" s="20"/>
      <c r="G32" s="20"/>
      <c r="H32" s="20"/>
      <c r="I32" s="20"/>
      <c r="J32" s="20"/>
      <c r="K32" s="20"/>
      <c r="L32" s="20"/>
      <c r="M32" s="20"/>
      <c r="N32" s="20"/>
      <c r="O32" s="20"/>
      <c r="P32" s="20"/>
      <c r="Q32" s="20"/>
      <c r="R32" s="20"/>
    </row>
    <row r="33" spans="1:18" x14ac:dyDescent="0.25">
      <c r="B33" s="19"/>
      <c r="C33" s="20"/>
      <c r="D33" s="20"/>
      <c r="E33" s="20"/>
      <c r="F33" s="20"/>
      <c r="G33" s="20"/>
      <c r="H33" s="20"/>
      <c r="I33" s="20"/>
      <c r="J33" s="20"/>
      <c r="K33" s="20"/>
      <c r="L33" s="20"/>
      <c r="M33" s="20"/>
      <c r="N33" s="20"/>
      <c r="O33" s="20"/>
      <c r="P33" s="20"/>
      <c r="Q33" s="20"/>
      <c r="R33" s="20"/>
    </row>
    <row r="35" spans="1:18" x14ac:dyDescent="0.25">
      <c r="A35" s="17" t="s">
        <v>3</v>
      </c>
      <c r="B35" s="15" t="s">
        <v>4</v>
      </c>
    </row>
    <row r="36" spans="1:18" x14ac:dyDescent="0.25">
      <c r="B36" s="16" t="s">
        <v>105</v>
      </c>
    </row>
    <row r="37" spans="1:18" x14ac:dyDescent="0.25">
      <c r="B37" s="16" t="s">
        <v>5</v>
      </c>
      <c r="E37" s="21" t="s">
        <v>6</v>
      </c>
    </row>
    <row r="38" spans="1:18" x14ac:dyDescent="0.25">
      <c r="B38" s="16" t="s">
        <v>7</v>
      </c>
      <c r="E38" s="21" t="s">
        <v>8</v>
      </c>
    </row>
    <row r="39" spans="1:18" x14ac:dyDescent="0.25">
      <c r="B39" s="16" t="s">
        <v>9</v>
      </c>
      <c r="E39" s="21" t="s">
        <v>10</v>
      </c>
    </row>
    <row r="40" spans="1:18" x14ac:dyDescent="0.25">
      <c r="B40" s="16" t="s">
        <v>62</v>
      </c>
      <c r="E40" s="21" t="s">
        <v>63</v>
      </c>
    </row>
    <row r="41" spans="1:18" x14ac:dyDescent="0.25">
      <c r="B41" s="16" t="s">
        <v>102</v>
      </c>
      <c r="E41" s="21" t="s">
        <v>103</v>
      </c>
    </row>
    <row r="42" spans="1:18" x14ac:dyDescent="0.25">
      <c r="E42" s="21"/>
    </row>
    <row r="44" spans="1:18" x14ac:dyDescent="0.25">
      <c r="A44" s="17" t="s">
        <v>108</v>
      </c>
      <c r="B44" s="15" t="s">
        <v>123</v>
      </c>
    </row>
    <row r="45" spans="1:18" x14ac:dyDescent="0.25">
      <c r="B45" s="16" t="s">
        <v>124</v>
      </c>
      <c r="M45" s="26" t="s">
        <v>127</v>
      </c>
    </row>
    <row r="48" spans="1:18" x14ac:dyDescent="0.25">
      <c r="A48" s="22" t="s">
        <v>122</v>
      </c>
      <c r="B48" s="15" t="s">
        <v>109</v>
      </c>
    </row>
    <row r="49" spans="2:18" x14ac:dyDescent="0.25">
      <c r="B49" s="23" t="s">
        <v>110</v>
      </c>
      <c r="C49" s="44" t="s">
        <v>111</v>
      </c>
      <c r="D49" s="44"/>
      <c r="E49" s="46" t="s">
        <v>112</v>
      </c>
      <c r="F49" s="46"/>
      <c r="G49" s="46"/>
      <c r="H49" s="46"/>
      <c r="I49" s="46"/>
      <c r="J49" s="46"/>
      <c r="K49" s="46"/>
      <c r="L49" s="46"/>
      <c r="M49" s="46"/>
      <c r="N49" s="46"/>
      <c r="O49" s="46"/>
      <c r="P49" s="46"/>
      <c r="Q49" s="46"/>
      <c r="R49" s="46"/>
    </row>
    <row r="50" spans="2:18" x14ac:dyDescent="0.25">
      <c r="B50" s="24">
        <v>1</v>
      </c>
      <c r="C50" s="41">
        <v>44621</v>
      </c>
      <c r="D50" s="45"/>
      <c r="E50" s="42" t="s">
        <v>113</v>
      </c>
      <c r="F50" s="42"/>
      <c r="G50" s="42"/>
      <c r="H50" s="42"/>
      <c r="I50" s="42"/>
      <c r="J50" s="42"/>
      <c r="K50" s="42"/>
      <c r="L50" s="42"/>
      <c r="M50" s="42"/>
      <c r="N50" s="42"/>
      <c r="O50" s="42"/>
      <c r="P50" s="42"/>
      <c r="Q50" s="42"/>
      <c r="R50" s="42"/>
    </row>
    <row r="51" spans="2:18" x14ac:dyDescent="0.25">
      <c r="B51" s="24">
        <v>1.1000000000000001</v>
      </c>
      <c r="C51" s="41">
        <v>44622</v>
      </c>
      <c r="D51" s="41"/>
      <c r="E51" s="42" t="s">
        <v>116</v>
      </c>
      <c r="F51" s="42"/>
      <c r="G51" s="42"/>
      <c r="H51" s="42"/>
      <c r="I51" s="42"/>
      <c r="J51" s="42"/>
      <c r="K51" s="42"/>
      <c r="L51" s="42"/>
      <c r="M51" s="42"/>
      <c r="N51" s="42"/>
      <c r="O51" s="42"/>
      <c r="P51" s="42"/>
      <c r="Q51" s="42"/>
      <c r="R51" s="42"/>
    </row>
    <row r="52" spans="2:18" x14ac:dyDescent="0.25">
      <c r="B52" s="24">
        <v>1.2</v>
      </c>
      <c r="C52" s="41">
        <v>44635</v>
      </c>
      <c r="D52" s="41"/>
      <c r="E52" s="42" t="s">
        <v>125</v>
      </c>
      <c r="F52" s="42"/>
      <c r="G52" s="42"/>
      <c r="H52" s="42"/>
      <c r="I52" s="42"/>
      <c r="J52" s="42"/>
      <c r="K52" s="42"/>
      <c r="L52" s="42"/>
      <c r="M52" s="42"/>
      <c r="N52" s="42"/>
      <c r="O52" s="42"/>
      <c r="P52" s="42"/>
      <c r="Q52" s="42"/>
      <c r="R52" s="42"/>
    </row>
    <row r="53" spans="2:18" x14ac:dyDescent="0.25">
      <c r="B53" s="24">
        <v>1.3</v>
      </c>
      <c r="C53" s="41">
        <v>44683</v>
      </c>
      <c r="D53" s="41"/>
      <c r="E53" s="42" t="s">
        <v>130</v>
      </c>
      <c r="F53" s="42"/>
      <c r="G53" s="42"/>
      <c r="H53" s="42"/>
      <c r="I53" s="42"/>
      <c r="J53" s="42"/>
      <c r="K53" s="42"/>
      <c r="L53" s="42"/>
      <c r="M53" s="42"/>
      <c r="N53" s="42"/>
      <c r="O53" s="42"/>
      <c r="P53" s="42"/>
      <c r="Q53" s="42"/>
      <c r="R53" s="42"/>
    </row>
    <row r="54" spans="2:18" x14ac:dyDescent="0.25">
      <c r="B54" s="24">
        <v>1.4</v>
      </c>
      <c r="C54" s="41">
        <v>45104</v>
      </c>
      <c r="D54" s="41"/>
      <c r="E54" s="42" t="s">
        <v>132</v>
      </c>
      <c r="F54" s="42"/>
      <c r="G54" s="42"/>
      <c r="H54" s="42"/>
      <c r="I54" s="42"/>
      <c r="J54" s="42"/>
      <c r="K54" s="42"/>
      <c r="L54" s="42"/>
      <c r="M54" s="42"/>
      <c r="N54" s="42"/>
      <c r="O54" s="42"/>
      <c r="P54" s="42"/>
      <c r="Q54" s="42"/>
      <c r="R54" s="42"/>
    </row>
    <row r="55" spans="2:18" x14ac:dyDescent="0.25">
      <c r="B55" s="24">
        <v>1.5</v>
      </c>
      <c r="C55" s="41">
        <v>45236</v>
      </c>
      <c r="D55" s="41"/>
      <c r="E55" s="42" t="s">
        <v>140</v>
      </c>
      <c r="F55" s="42"/>
      <c r="G55" s="42"/>
      <c r="H55" s="42"/>
      <c r="I55" s="42"/>
      <c r="J55" s="42"/>
      <c r="K55" s="42"/>
      <c r="L55" s="42"/>
      <c r="M55" s="42"/>
      <c r="N55" s="42"/>
      <c r="O55" s="42"/>
      <c r="P55" s="42"/>
      <c r="Q55" s="42"/>
      <c r="R55" s="42"/>
    </row>
    <row r="56" spans="2:18" x14ac:dyDescent="0.25">
      <c r="B56" s="24">
        <v>1.6</v>
      </c>
      <c r="C56" s="41">
        <v>45777</v>
      </c>
      <c r="D56" s="41"/>
      <c r="E56" s="42" t="s">
        <v>142</v>
      </c>
      <c r="F56" s="42"/>
      <c r="G56" s="42"/>
      <c r="H56" s="42"/>
      <c r="I56" s="42"/>
      <c r="J56" s="42"/>
      <c r="K56" s="42"/>
      <c r="L56" s="42"/>
      <c r="M56" s="42"/>
      <c r="N56" s="42"/>
      <c r="O56" s="42"/>
      <c r="P56" s="42"/>
      <c r="Q56" s="42"/>
      <c r="R56" s="42"/>
    </row>
    <row r="57" spans="2:18" x14ac:dyDescent="0.25">
      <c r="B57" s="24">
        <v>1.7</v>
      </c>
      <c r="C57" s="41">
        <v>45881</v>
      </c>
      <c r="D57" s="41"/>
      <c r="E57" s="42" t="s">
        <v>143</v>
      </c>
      <c r="F57" s="42"/>
      <c r="G57" s="42"/>
      <c r="H57" s="42"/>
      <c r="I57" s="42"/>
      <c r="J57" s="42"/>
      <c r="K57" s="42"/>
      <c r="L57" s="42"/>
      <c r="M57" s="42"/>
      <c r="N57" s="42"/>
      <c r="O57" s="42"/>
      <c r="P57" s="42"/>
      <c r="Q57" s="42"/>
      <c r="R57" s="42"/>
    </row>
  </sheetData>
  <mergeCells count="19">
    <mergeCell ref="B4:X5"/>
    <mergeCell ref="C51:D51"/>
    <mergeCell ref="C49:D49"/>
    <mergeCell ref="C50:D50"/>
    <mergeCell ref="E53:R53"/>
    <mergeCell ref="E52:R52"/>
    <mergeCell ref="E51:R51"/>
    <mergeCell ref="E50:R50"/>
    <mergeCell ref="E49:R49"/>
    <mergeCell ref="C53:D53"/>
    <mergeCell ref="C52:D52"/>
    <mergeCell ref="C57:D57"/>
    <mergeCell ref="E57:R57"/>
    <mergeCell ref="C56:D56"/>
    <mergeCell ref="E56:R56"/>
    <mergeCell ref="C55:D55"/>
    <mergeCell ref="E55:R55"/>
    <mergeCell ref="C54:D54"/>
    <mergeCell ref="E54:R54"/>
  </mergeCells>
  <hyperlinks>
    <hyperlink ref="E37" r:id="rId1" xr:uid="{051C3A74-63DA-48AE-86EE-D5C7533E6419}"/>
    <hyperlink ref="E38" r:id="rId2" xr:uid="{D8BCF4AF-9A62-4331-94ED-67598D2A12D3}"/>
    <hyperlink ref="E39" r:id="rId3" xr:uid="{0F83D02D-AD16-47D0-A91F-6E3803FD7744}"/>
    <hyperlink ref="E40" r:id="rId4" xr:uid="{D236D97A-4341-4D28-BF59-902E76F567B7}"/>
    <hyperlink ref="E41" r:id="rId5" xr:uid="{B8DCAC4D-CF49-4A86-9332-B47BC17F93EC}"/>
    <hyperlink ref="M45" r:id="rId6" xr:uid="{AD2BF769-F081-4999-B2EC-C82A0B0EFCF5}"/>
  </hyperlinks>
  <pageMargins left="0.7" right="0.7" top="0.75" bottom="0.75" header="0.3" footer="0.3"/>
  <pageSetup scale="51"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8F9F-BE57-417F-A8C1-F92E0EE5EE8F}">
  <sheetPr>
    <tabColor theme="9" tint="0.59999389629810485"/>
  </sheetPr>
  <dimension ref="A2:J19"/>
  <sheetViews>
    <sheetView showGridLines="0" workbookViewId="0">
      <selection activeCell="J14" sqref="J14"/>
    </sheetView>
  </sheetViews>
  <sheetFormatPr defaultRowHeight="15" x14ac:dyDescent="0.25"/>
  <cols>
    <col min="7" max="7" width="26.5703125" customWidth="1"/>
  </cols>
  <sheetData>
    <row r="2" spans="1:10" x14ac:dyDescent="0.25">
      <c r="C2" s="47" t="s">
        <v>106</v>
      </c>
      <c r="D2" s="47"/>
      <c r="E2" s="47"/>
      <c r="F2" s="47"/>
      <c r="G2" s="47"/>
    </row>
    <row r="3" spans="1:10" x14ac:dyDescent="0.25">
      <c r="C3" s="47"/>
      <c r="D3" s="47"/>
      <c r="E3" s="47"/>
      <c r="F3" s="47"/>
      <c r="G3" s="47"/>
    </row>
    <row r="4" spans="1:10" x14ac:dyDescent="0.25">
      <c r="C4" s="47"/>
      <c r="D4" s="47"/>
      <c r="E4" s="47"/>
      <c r="F4" s="47"/>
      <c r="G4" s="47"/>
    </row>
    <row r="5" spans="1:10" x14ac:dyDescent="0.25">
      <c r="A5" s="1" t="s">
        <v>45</v>
      </c>
    </row>
    <row r="6" spans="1:10" x14ac:dyDescent="0.25">
      <c r="B6" t="s">
        <v>35</v>
      </c>
      <c r="G6" s="48"/>
      <c r="H6" s="48"/>
      <c r="I6" s="48"/>
      <c r="J6" s="48"/>
    </row>
    <row r="8" spans="1:10" x14ac:dyDescent="0.25">
      <c r="A8" s="1" t="s">
        <v>46</v>
      </c>
    </row>
    <row r="9" spans="1:10" x14ac:dyDescent="0.25">
      <c r="B9" t="s">
        <v>36</v>
      </c>
      <c r="G9" s="3" t="e">
        <f>INDEX(Calc_Unit,MATCH(G6,WG_category,0))</f>
        <v>#N/A</v>
      </c>
    </row>
    <row r="11" spans="1:10" x14ac:dyDescent="0.25">
      <c r="B11" t="s">
        <v>48</v>
      </c>
      <c r="G11" s="4"/>
    </row>
    <row r="13" spans="1:10" x14ac:dyDescent="0.25">
      <c r="B13" t="s">
        <v>47</v>
      </c>
      <c r="G13" s="3" t="e">
        <f>INDEX(WG_Rates,MATCH(G6,WG_category,0))</f>
        <v>#N/A</v>
      </c>
    </row>
    <row r="14" spans="1:10" x14ac:dyDescent="0.25">
      <c r="B14" t="s">
        <v>56</v>
      </c>
      <c r="G14" s="3" t="e">
        <f>INDEX(Unit,MATCH(G6,WG_category,0))</f>
        <v>#N/A</v>
      </c>
    </row>
    <row r="15" spans="1:10" x14ac:dyDescent="0.25">
      <c r="B15" t="s">
        <v>86</v>
      </c>
      <c r="G15" s="3" t="e">
        <f>INDEX(Calc_Cat,MATCH(G6,WG_category,0))</f>
        <v>#N/A</v>
      </c>
    </row>
    <row r="17" spans="1:7" x14ac:dyDescent="0.25">
      <c r="B17" t="s">
        <v>54</v>
      </c>
      <c r="G17" s="2"/>
    </row>
    <row r="19" spans="1:7" x14ac:dyDescent="0.25">
      <c r="A19" s="1" t="s">
        <v>69</v>
      </c>
    </row>
  </sheetData>
  <mergeCells count="2">
    <mergeCell ref="C2:G4"/>
    <mergeCell ref="G6:J6"/>
  </mergeCells>
  <dataValidations count="1">
    <dataValidation type="list" allowBlank="1" showInputMessage="1" showErrorMessage="1" sqref="G6" xr:uid="{285938D8-CCDF-4033-8A07-4E478C53BBF0}">
      <formula1>WG_category</formula1>
    </dataValidation>
  </dataValidations>
  <pageMargins left="0.7" right="0.7" top="0.75" bottom="0.75" header="0.3" footer="0.3"/>
  <pageSetup orientation="portrait" r:id="rId1"/>
  <ignoredErrors>
    <ignoredError sqref="G9 G13:G15"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16871F-CF80-45AA-BED1-4832BA9701ED}">
          <x14:formula1>
            <xm:f>CalculationData!$L$3:$L$4</xm:f>
          </x14:formula1>
          <xm:sqref>G17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C2AA-92CC-45E8-B83B-2FF0894F6734}">
  <sheetPr>
    <tabColor theme="4" tint="0.59999389629810485"/>
  </sheetPr>
  <dimension ref="A1:R103"/>
  <sheetViews>
    <sheetView showGridLines="0" zoomScaleNormal="100" workbookViewId="0">
      <selection activeCell="F7" sqref="F7"/>
    </sheetView>
  </sheetViews>
  <sheetFormatPr defaultRowHeight="15" outlineLevelRow="1" x14ac:dyDescent="0.25"/>
  <cols>
    <col min="1" max="1" width="14.28515625" customWidth="1"/>
    <col min="2" max="2" width="20.7109375" customWidth="1"/>
    <col min="3" max="3" width="16.85546875" bestFit="1" customWidth="1"/>
    <col min="4" max="4" width="24.85546875" bestFit="1" customWidth="1"/>
  </cols>
  <sheetData>
    <row r="1" spans="1:18" x14ac:dyDescent="0.25">
      <c r="A1" s="1" t="s">
        <v>121</v>
      </c>
    </row>
    <row r="2" spans="1:18" x14ac:dyDescent="0.25">
      <c r="A2" s="1"/>
    </row>
    <row r="3" spans="1:18" s="1" customFormat="1" x14ac:dyDescent="0.25">
      <c r="A3" s="7" t="s">
        <v>57</v>
      </c>
      <c r="B3" s="8" t="s">
        <v>16</v>
      </c>
      <c r="C3" s="7" t="s">
        <v>58</v>
      </c>
      <c r="D3" s="7" t="s">
        <v>59</v>
      </c>
    </row>
    <row r="4" spans="1:18" x14ac:dyDescent="0.25">
      <c r="A4" s="5">
        <f>'Calculation Sheet'!G11</f>
        <v>0</v>
      </c>
      <c r="B4" s="6" t="e">
        <f>'Calculation Sheet'!G14</f>
        <v>#N/A</v>
      </c>
      <c r="C4" s="6" t="e">
        <f>'Calculation Sheet'!G13</f>
        <v>#N/A</v>
      </c>
      <c r="D4" s="6" t="e">
        <f>A4*C4</f>
        <v>#N/A</v>
      </c>
    </row>
    <row r="7" spans="1:18" x14ac:dyDescent="0.25">
      <c r="A7" s="77" t="s">
        <v>60</v>
      </c>
      <c r="B7" s="78"/>
      <c r="C7" s="6" t="e">
        <f>D4*Week</f>
        <v>#N/A</v>
      </c>
      <c r="D7" s="6" t="s">
        <v>72</v>
      </c>
    </row>
    <row r="9" spans="1:18" outlineLevel="1" x14ac:dyDescent="0.25"/>
    <row r="10" spans="1:18" outlineLevel="1" x14ac:dyDescent="0.25">
      <c r="A10" s="1" t="s">
        <v>77</v>
      </c>
      <c r="G10" s="1" t="s">
        <v>91</v>
      </c>
      <c r="K10" s="1" t="s">
        <v>126</v>
      </c>
      <c r="O10" s="1" t="s">
        <v>92</v>
      </c>
    </row>
    <row r="11" spans="1:18" outlineLevel="1" x14ac:dyDescent="0.25">
      <c r="A11" s="62" t="s">
        <v>141</v>
      </c>
      <c r="B11" s="62"/>
      <c r="C11" s="62"/>
      <c r="D11" s="12" t="e">
        <f>IF('Calculation Sheet'!$G$15="SFD",WGE!$C$7*CalculationData!F3)</f>
        <v>#N/A</v>
      </c>
      <c r="E11" s="6" t="s">
        <v>72</v>
      </c>
      <c r="G11" s="75" t="s">
        <v>66</v>
      </c>
      <c r="H11" s="75"/>
      <c r="I11" s="12" t="e">
        <f>D11/SW_density</f>
        <v>#N/A</v>
      </c>
      <c r="K11" s="75" t="s">
        <v>66</v>
      </c>
      <c r="L11" s="75"/>
      <c r="M11" s="12" t="e">
        <f>I11*GalWet</f>
        <v>#N/A</v>
      </c>
      <c r="O11" s="75" t="s">
        <v>66</v>
      </c>
      <c r="P11" s="75"/>
      <c r="Q11" s="76" t="b">
        <f>IF('Calculation Sheet'!$G$17="Yes",WGE!I11/CompactRatio)</f>
        <v>0</v>
      </c>
      <c r="R11" s="76"/>
    </row>
    <row r="12" spans="1:18" outlineLevel="1" x14ac:dyDescent="0.25">
      <c r="A12" s="74" t="s">
        <v>67</v>
      </c>
      <c r="B12" s="74"/>
      <c r="C12" s="74"/>
      <c r="D12" s="12" t="e">
        <f>(IF('Calculation Sheet'!$G$15="SFD",WGE!$C$7*CalculationData!G3))*0.75</f>
        <v>#N/A</v>
      </c>
      <c r="E12" s="6" t="s">
        <v>72</v>
      </c>
      <c r="G12" s="79" t="s">
        <v>65</v>
      </c>
      <c r="H12" s="79"/>
      <c r="I12" s="12" t="e">
        <f>D12/R_density</f>
        <v>#N/A</v>
      </c>
      <c r="K12" s="79" t="s">
        <v>65</v>
      </c>
      <c r="L12" s="79"/>
      <c r="M12" s="12" t="e">
        <f>I12*GalDry</f>
        <v>#N/A</v>
      </c>
      <c r="O12" s="79" t="s">
        <v>65</v>
      </c>
      <c r="P12" s="79"/>
      <c r="Q12" s="76" t="b">
        <f>IF('Calculation Sheet'!$G$17="Yes",WGE!I12/CompactRatio)</f>
        <v>0</v>
      </c>
      <c r="R12" s="76"/>
    </row>
    <row r="13" spans="1:18" outlineLevel="1" x14ac:dyDescent="0.25">
      <c r="A13" s="49" t="s">
        <v>107</v>
      </c>
      <c r="B13" s="50"/>
      <c r="C13" s="51"/>
      <c r="D13" s="12" t="e">
        <f>IF('Calculation Sheet'!$G$15="SFD",WGE!$C$7*CalculationData!H3)</f>
        <v>#N/A</v>
      </c>
      <c r="E13" s="6" t="s">
        <v>72</v>
      </c>
      <c r="G13" s="52" t="s">
        <v>107</v>
      </c>
      <c r="H13" s="53"/>
      <c r="I13" s="12" t="e">
        <f>D13/FW_density</f>
        <v>#N/A</v>
      </c>
      <c r="K13" s="52" t="s">
        <v>107</v>
      </c>
      <c r="L13" s="53"/>
      <c r="M13" s="12" t="e">
        <f>I13*GalWet</f>
        <v>#N/A</v>
      </c>
      <c r="O13" s="14"/>
      <c r="P13" s="14"/>
      <c r="Q13" s="13"/>
      <c r="R13" s="13"/>
    </row>
    <row r="14" spans="1:18" outlineLevel="1" x14ac:dyDescent="0.25">
      <c r="A14" s="72" t="s">
        <v>95</v>
      </c>
      <c r="B14" s="72"/>
      <c r="C14" s="72"/>
      <c r="D14" s="12" t="e">
        <f>IF('Calculation Sheet'!$G$15="SFD",WGE!$C$7*CalculationData!I3)</f>
        <v>#N/A</v>
      </c>
      <c r="E14" s="6" t="s">
        <v>72</v>
      </c>
      <c r="G14" s="48" t="s">
        <v>95</v>
      </c>
      <c r="H14" s="48"/>
      <c r="I14" s="12" t="e">
        <f>D14/Org_density</f>
        <v>#N/A</v>
      </c>
      <c r="K14" s="48" t="s">
        <v>95</v>
      </c>
      <c r="L14" s="48"/>
      <c r="M14" s="12" t="e">
        <f>I14*GalWet</f>
        <v>#N/A</v>
      </c>
    </row>
    <row r="15" spans="1:18" outlineLevel="1" x14ac:dyDescent="0.25">
      <c r="A15" s="73" t="s">
        <v>68</v>
      </c>
      <c r="B15" s="73"/>
      <c r="C15" s="73"/>
      <c r="D15" s="12" t="e">
        <f>IF('Calculation Sheet'!$G$15="SFD",WGE!$C$7*CalculationData!J3)</f>
        <v>#N/A</v>
      </c>
      <c r="E15" s="6" t="s">
        <v>72</v>
      </c>
    </row>
    <row r="17" spans="1:18" outlineLevel="1" x14ac:dyDescent="0.25"/>
    <row r="18" spans="1:18" outlineLevel="1" x14ac:dyDescent="0.25">
      <c r="A18" s="1" t="s">
        <v>78</v>
      </c>
      <c r="G18" s="1" t="s">
        <v>91</v>
      </c>
      <c r="K18" s="1" t="s">
        <v>126</v>
      </c>
      <c r="O18" s="1" t="s">
        <v>92</v>
      </c>
    </row>
    <row r="19" spans="1:18" outlineLevel="1" x14ac:dyDescent="0.25">
      <c r="A19" s="62" t="s">
        <v>141</v>
      </c>
      <c r="B19" s="62"/>
      <c r="C19" s="62"/>
      <c r="D19" s="12" t="e">
        <f>IF('Calculation Sheet'!$G$15="MFD",WGE!$C$7*CalculationData!F4)</f>
        <v>#N/A</v>
      </c>
      <c r="E19" s="6" t="s">
        <v>72</v>
      </c>
      <c r="G19" s="75" t="s">
        <v>66</v>
      </c>
      <c r="H19" s="75"/>
      <c r="I19" s="12" t="e">
        <f>D19/SW_density</f>
        <v>#N/A</v>
      </c>
      <c r="K19" s="75" t="s">
        <v>66</v>
      </c>
      <c r="L19" s="75"/>
      <c r="M19" s="12" t="e">
        <f>I19*GalWet</f>
        <v>#N/A</v>
      </c>
      <c r="O19" s="75" t="s">
        <v>66</v>
      </c>
      <c r="P19" s="75"/>
      <c r="Q19" s="76" t="b">
        <f>IF('Calculation Sheet'!$G$17="Yes",WGE!I19/CompactRatio)</f>
        <v>0</v>
      </c>
      <c r="R19" s="76"/>
    </row>
    <row r="20" spans="1:18" outlineLevel="1" x14ac:dyDescent="0.25">
      <c r="A20" s="74" t="s">
        <v>67</v>
      </c>
      <c r="B20" s="74"/>
      <c r="C20" s="74"/>
      <c r="D20" s="12" t="e">
        <f>(IF('Calculation Sheet'!$G$15="MFD",WGE!$C$7*CalculationData!G4))*0.75</f>
        <v>#N/A</v>
      </c>
      <c r="E20" s="6" t="s">
        <v>72</v>
      </c>
      <c r="G20" s="79" t="s">
        <v>65</v>
      </c>
      <c r="H20" s="79"/>
      <c r="I20" s="12" t="e">
        <f>D20/R_density</f>
        <v>#N/A</v>
      </c>
      <c r="K20" s="79" t="s">
        <v>65</v>
      </c>
      <c r="L20" s="79"/>
      <c r="M20" s="12" t="e">
        <f>I20*GalDry</f>
        <v>#N/A</v>
      </c>
      <c r="O20" s="79" t="s">
        <v>65</v>
      </c>
      <c r="P20" s="79"/>
      <c r="Q20" s="76" t="b">
        <f>IF('Calculation Sheet'!$G$17="Yes",WGE!I20/CompactRatio)</f>
        <v>0</v>
      </c>
      <c r="R20" s="76"/>
    </row>
    <row r="21" spans="1:18" outlineLevel="1" x14ac:dyDescent="0.25">
      <c r="A21" s="49" t="s">
        <v>107</v>
      </c>
      <c r="B21" s="50"/>
      <c r="C21" s="51"/>
      <c r="D21" s="12" t="e">
        <f>IF('Calculation Sheet'!$G$15="MFD",WGE!$C$7*CalculationData!H4)</f>
        <v>#N/A</v>
      </c>
      <c r="E21" s="6" t="s">
        <v>72</v>
      </c>
      <c r="G21" s="52" t="s">
        <v>107</v>
      </c>
      <c r="H21" s="53"/>
      <c r="I21" s="12" t="e">
        <f>D21/FW_density</f>
        <v>#N/A</v>
      </c>
      <c r="K21" s="52" t="s">
        <v>107</v>
      </c>
      <c r="L21" s="53"/>
      <c r="M21" s="12" t="e">
        <f>I21*GalWet</f>
        <v>#N/A</v>
      </c>
      <c r="O21" s="14"/>
      <c r="P21" s="14"/>
      <c r="Q21" s="13"/>
      <c r="R21" s="13"/>
    </row>
    <row r="22" spans="1:18" outlineLevel="1" x14ac:dyDescent="0.25">
      <c r="A22" s="72" t="s">
        <v>95</v>
      </c>
      <c r="B22" s="72"/>
      <c r="C22" s="72"/>
      <c r="D22" s="12" t="e">
        <f>IF('Calculation Sheet'!$G$15="MFD",WGE!$C$7*CalculationData!I4)</f>
        <v>#N/A</v>
      </c>
      <c r="E22" s="6" t="s">
        <v>72</v>
      </c>
      <c r="G22" s="48" t="s">
        <v>95</v>
      </c>
      <c r="H22" s="48"/>
      <c r="I22" s="12" t="e">
        <f>D22/Org_density</f>
        <v>#N/A</v>
      </c>
      <c r="K22" s="48" t="s">
        <v>95</v>
      </c>
      <c r="L22" s="48"/>
      <c r="M22" s="12" t="e">
        <f>I22*GalWet</f>
        <v>#N/A</v>
      </c>
    </row>
    <row r="23" spans="1:18" outlineLevel="1" x14ac:dyDescent="0.25">
      <c r="A23" s="73" t="s">
        <v>68</v>
      </c>
      <c r="B23" s="73"/>
      <c r="C23" s="73"/>
      <c r="D23" s="12" t="e">
        <f>IF('Calculation Sheet'!$G$15="MFD",WGE!$C$7*CalculationData!J4)</f>
        <v>#N/A</v>
      </c>
      <c r="E23" s="6" t="s">
        <v>72</v>
      </c>
    </row>
    <row r="25" spans="1:18" outlineLevel="1" x14ac:dyDescent="0.25"/>
    <row r="26" spans="1:18" outlineLevel="1" x14ac:dyDescent="0.25">
      <c r="A26" s="1" t="s">
        <v>84</v>
      </c>
      <c r="G26" s="1" t="s">
        <v>91</v>
      </c>
      <c r="K26" s="1" t="s">
        <v>126</v>
      </c>
      <c r="O26" s="1" t="s">
        <v>92</v>
      </c>
    </row>
    <row r="27" spans="1:18" outlineLevel="1" x14ac:dyDescent="0.25">
      <c r="A27" s="62" t="s">
        <v>141</v>
      </c>
      <c r="B27" s="62"/>
      <c r="C27" s="62"/>
      <c r="D27" s="12" t="e">
        <f>IF('Calculation Sheet'!$G$15="FOOD",WGE!$C$7*CalculationData!F5)</f>
        <v>#N/A</v>
      </c>
      <c r="E27" s="6" t="s">
        <v>72</v>
      </c>
      <c r="G27" s="75" t="s">
        <v>66</v>
      </c>
      <c r="H27" s="75"/>
      <c r="I27" s="12" t="e">
        <f>D27/SW_density</f>
        <v>#N/A</v>
      </c>
      <c r="K27" s="75" t="s">
        <v>66</v>
      </c>
      <c r="L27" s="75"/>
      <c r="M27" s="12" t="e">
        <f>I27*GalWet</f>
        <v>#N/A</v>
      </c>
      <c r="O27" s="75" t="s">
        <v>66</v>
      </c>
      <c r="P27" s="75"/>
      <c r="Q27" s="76" t="b">
        <f>IF('Calculation Sheet'!$G$17="Yes",WGE!I27/CompactRatio)</f>
        <v>0</v>
      </c>
      <c r="R27" s="76"/>
    </row>
    <row r="28" spans="1:18" outlineLevel="1" x14ac:dyDescent="0.25">
      <c r="A28" s="74" t="s">
        <v>67</v>
      </c>
      <c r="B28" s="74"/>
      <c r="C28" s="74"/>
      <c r="D28" s="12" t="e">
        <f>(IF('Calculation Sheet'!$G$15="FOOD",WGE!$C$7*CalculationData!G5))*0.75</f>
        <v>#N/A</v>
      </c>
      <c r="E28" s="6" t="s">
        <v>72</v>
      </c>
      <c r="G28" s="79" t="s">
        <v>65</v>
      </c>
      <c r="H28" s="79"/>
      <c r="I28" s="12" t="e">
        <f>D28/R_density</f>
        <v>#N/A</v>
      </c>
      <c r="K28" s="79" t="s">
        <v>65</v>
      </c>
      <c r="L28" s="79"/>
      <c r="M28" s="12" t="e">
        <f>I28*GalDry</f>
        <v>#N/A</v>
      </c>
      <c r="O28" s="79" t="s">
        <v>65</v>
      </c>
      <c r="P28" s="79"/>
      <c r="Q28" s="76" t="b">
        <f>IF('Calculation Sheet'!$G$17="Yes",WGE!I28/CompactRatio)</f>
        <v>0</v>
      </c>
      <c r="R28" s="76"/>
    </row>
    <row r="29" spans="1:18" outlineLevel="1" x14ac:dyDescent="0.25">
      <c r="A29" s="49" t="s">
        <v>107</v>
      </c>
      <c r="B29" s="50"/>
      <c r="C29" s="51"/>
      <c r="D29" s="12" t="e">
        <f>IF('Calculation Sheet'!$G$15="FOOD",WGE!$C$7*CalculationData!H5)</f>
        <v>#N/A</v>
      </c>
      <c r="E29" s="6" t="s">
        <v>72</v>
      </c>
      <c r="G29" s="52" t="s">
        <v>107</v>
      </c>
      <c r="H29" s="53"/>
      <c r="I29" s="12" t="e">
        <f>D29/FW_density</f>
        <v>#N/A</v>
      </c>
      <c r="K29" s="52" t="s">
        <v>107</v>
      </c>
      <c r="L29" s="53"/>
      <c r="M29" s="12" t="e">
        <f>I29*GalWet</f>
        <v>#N/A</v>
      </c>
      <c r="O29" s="14"/>
      <c r="P29" s="14"/>
      <c r="Q29" s="13"/>
      <c r="R29" s="13"/>
    </row>
    <row r="30" spans="1:18" outlineLevel="1" x14ac:dyDescent="0.25">
      <c r="A30" s="72" t="s">
        <v>95</v>
      </c>
      <c r="B30" s="72"/>
      <c r="C30" s="72"/>
      <c r="D30" s="12" t="e">
        <f>IF('Calculation Sheet'!$G$15="FOOD",WGE!$C$7*CalculationData!I5)</f>
        <v>#N/A</v>
      </c>
      <c r="E30" s="6" t="s">
        <v>72</v>
      </c>
      <c r="G30" s="48" t="s">
        <v>95</v>
      </c>
      <c r="H30" s="48"/>
      <c r="I30" s="12" t="e">
        <f>D30/Org_density</f>
        <v>#N/A</v>
      </c>
      <c r="K30" s="48" t="s">
        <v>95</v>
      </c>
      <c r="L30" s="48"/>
      <c r="M30" s="12" t="e">
        <f>I30*GalWet</f>
        <v>#N/A</v>
      </c>
    </row>
    <row r="31" spans="1:18" outlineLevel="1" x14ac:dyDescent="0.25">
      <c r="A31" s="73" t="s">
        <v>68</v>
      </c>
      <c r="B31" s="73"/>
      <c r="C31" s="73"/>
      <c r="D31" s="12" t="e">
        <f>IF('Calculation Sheet'!$G$15="FOOD",WGE!$C$7*CalculationData!J5)</f>
        <v>#N/A</v>
      </c>
      <c r="E31" s="6" t="s">
        <v>72</v>
      </c>
    </row>
    <row r="33" spans="1:18" outlineLevel="1" x14ac:dyDescent="0.25"/>
    <row r="34" spans="1:18" outlineLevel="1" x14ac:dyDescent="0.25">
      <c r="A34" s="1" t="s">
        <v>85</v>
      </c>
      <c r="G34" s="1" t="s">
        <v>91</v>
      </c>
      <c r="K34" s="1" t="s">
        <v>126</v>
      </c>
      <c r="O34" s="1" t="s">
        <v>92</v>
      </c>
    </row>
    <row r="35" spans="1:18" outlineLevel="1" x14ac:dyDescent="0.25">
      <c r="A35" s="62" t="s">
        <v>141</v>
      </c>
      <c r="B35" s="62"/>
      <c r="C35" s="62"/>
      <c r="D35" s="12" t="e">
        <f>IF('Calculation Sheet'!$G$15="LODGING",WGE!$C$7*CalculationData!F7)</f>
        <v>#N/A</v>
      </c>
      <c r="E35" s="6" t="s">
        <v>72</v>
      </c>
      <c r="G35" s="75" t="s">
        <v>66</v>
      </c>
      <c r="H35" s="75"/>
      <c r="I35" s="12" t="e">
        <f>D35/SW_density</f>
        <v>#N/A</v>
      </c>
      <c r="K35" s="75" t="s">
        <v>66</v>
      </c>
      <c r="L35" s="75"/>
      <c r="M35" s="12" t="e">
        <f>I35*GalWet</f>
        <v>#N/A</v>
      </c>
      <c r="O35" s="75" t="s">
        <v>66</v>
      </c>
      <c r="P35" s="75"/>
      <c r="Q35" s="76" t="b">
        <f>IF('Calculation Sheet'!$G$17="Yes",WGE!I35/CompactRatio)</f>
        <v>0</v>
      </c>
      <c r="R35" s="76"/>
    </row>
    <row r="36" spans="1:18" outlineLevel="1" x14ac:dyDescent="0.25">
      <c r="A36" s="67" t="s">
        <v>67</v>
      </c>
      <c r="B36" s="68"/>
      <c r="C36" s="69"/>
      <c r="D36" s="12" t="e">
        <f>(IF('Calculation Sheet'!$G$15="LODGING",WGE!$C$7*CalculationData!G7))*0.75</f>
        <v>#N/A</v>
      </c>
      <c r="E36" s="6" t="s">
        <v>72</v>
      </c>
      <c r="G36" s="79" t="s">
        <v>65</v>
      </c>
      <c r="H36" s="79"/>
      <c r="I36" s="12" t="e">
        <f>D36/R_density</f>
        <v>#N/A</v>
      </c>
      <c r="K36" s="79" t="s">
        <v>65</v>
      </c>
      <c r="L36" s="79"/>
      <c r="M36" s="12" t="e">
        <f>I36*GalDry</f>
        <v>#N/A</v>
      </c>
      <c r="O36" s="79" t="s">
        <v>65</v>
      </c>
      <c r="P36" s="79"/>
      <c r="Q36" s="76" t="b">
        <f>IF('Calculation Sheet'!$G$17="Yes",WGE!I36/CompactRatio)</f>
        <v>0</v>
      </c>
      <c r="R36" s="76"/>
    </row>
    <row r="37" spans="1:18" outlineLevel="1" x14ac:dyDescent="0.25">
      <c r="A37" s="49" t="s">
        <v>107</v>
      </c>
      <c r="B37" s="50"/>
      <c r="C37" s="51"/>
      <c r="D37" s="12" t="e">
        <f>IF('Calculation Sheet'!$G$15="LODGING",WGE!$C$7*CalculationData!H7)</f>
        <v>#N/A</v>
      </c>
      <c r="E37" s="6" t="s">
        <v>72</v>
      </c>
      <c r="G37" s="52" t="s">
        <v>107</v>
      </c>
      <c r="H37" s="53"/>
      <c r="I37" s="12" t="e">
        <f>D37/FW_density</f>
        <v>#N/A</v>
      </c>
      <c r="K37" s="52" t="s">
        <v>107</v>
      </c>
      <c r="L37" s="53"/>
      <c r="M37" s="12" t="e">
        <f>I37*GalWet</f>
        <v>#N/A</v>
      </c>
      <c r="O37" s="14"/>
      <c r="P37" s="14"/>
      <c r="Q37" s="13"/>
      <c r="R37" s="13"/>
    </row>
    <row r="38" spans="1:18" outlineLevel="1" x14ac:dyDescent="0.25">
      <c r="A38" s="72" t="s">
        <v>95</v>
      </c>
      <c r="B38" s="72"/>
      <c r="C38" s="72"/>
      <c r="D38" s="12" t="e">
        <f>IF('Calculation Sheet'!$G$15="LODGING",WGE!$C$7*CalculationData!I7)</f>
        <v>#N/A</v>
      </c>
      <c r="E38" s="6" t="s">
        <v>72</v>
      </c>
      <c r="G38" s="48" t="s">
        <v>95</v>
      </c>
      <c r="H38" s="48"/>
      <c r="I38" s="12" t="e">
        <f>D38/Org_density</f>
        <v>#N/A</v>
      </c>
      <c r="K38" s="48" t="s">
        <v>95</v>
      </c>
      <c r="L38" s="48"/>
      <c r="M38" s="12" t="e">
        <f>I38*GalWet</f>
        <v>#N/A</v>
      </c>
    </row>
    <row r="39" spans="1:18" outlineLevel="1" x14ac:dyDescent="0.25">
      <c r="A39" s="73" t="s">
        <v>68</v>
      </c>
      <c r="B39" s="73"/>
      <c r="C39" s="73"/>
      <c r="D39" s="12" t="e">
        <f>IF('Calculation Sheet'!$G$15="LODGING",WGE!$C$7*CalculationData!J7)</f>
        <v>#N/A</v>
      </c>
      <c r="E39" s="6" t="s">
        <v>72</v>
      </c>
    </row>
    <row r="41" spans="1:18" outlineLevel="1" x14ac:dyDescent="0.25"/>
    <row r="42" spans="1:18" outlineLevel="1" x14ac:dyDescent="0.25">
      <c r="A42" s="1" t="s">
        <v>87</v>
      </c>
      <c r="G42" s="1" t="s">
        <v>91</v>
      </c>
      <c r="K42" s="1" t="s">
        <v>126</v>
      </c>
      <c r="O42" s="1" t="s">
        <v>92</v>
      </c>
    </row>
    <row r="43" spans="1:18" outlineLevel="1" x14ac:dyDescent="0.25">
      <c r="A43" s="62" t="s">
        <v>141</v>
      </c>
      <c r="B43" s="62"/>
      <c r="C43" s="62"/>
      <c r="D43" s="12" t="e">
        <f>IF('Calculation Sheet'!$G$15="EDUCATION",WGE!$C$7*CalculationData!F8)</f>
        <v>#N/A</v>
      </c>
      <c r="E43" s="6" t="s">
        <v>72</v>
      </c>
      <c r="G43" s="75" t="s">
        <v>66</v>
      </c>
      <c r="H43" s="75"/>
      <c r="I43" s="12" t="e">
        <f>D43/SW_density</f>
        <v>#N/A</v>
      </c>
      <c r="K43" s="75" t="s">
        <v>66</v>
      </c>
      <c r="L43" s="75"/>
      <c r="M43" s="12" t="e">
        <f>I43*GalWet</f>
        <v>#N/A</v>
      </c>
      <c r="O43" s="75" t="s">
        <v>66</v>
      </c>
      <c r="P43" s="75"/>
      <c r="Q43" s="76" t="b">
        <f>IF('Calculation Sheet'!$G$17="Yes",WGE!I43/CompactRatio)</f>
        <v>0</v>
      </c>
      <c r="R43" s="76"/>
    </row>
    <row r="44" spans="1:18" outlineLevel="1" x14ac:dyDescent="0.25">
      <c r="A44" s="74" t="s">
        <v>67</v>
      </c>
      <c r="B44" s="74"/>
      <c r="C44" s="74"/>
      <c r="D44" s="12" t="e">
        <f>(IF('Calculation Sheet'!$G$15="EDUCATION",WGE!$C$7*CalculationData!G8))*0.75</f>
        <v>#N/A</v>
      </c>
      <c r="E44" s="6" t="s">
        <v>72</v>
      </c>
      <c r="G44" s="79" t="s">
        <v>65</v>
      </c>
      <c r="H44" s="79"/>
      <c r="I44" s="12" t="e">
        <f>D44/R_density</f>
        <v>#N/A</v>
      </c>
      <c r="K44" s="79" t="s">
        <v>65</v>
      </c>
      <c r="L44" s="79"/>
      <c r="M44" s="12" t="e">
        <f>I44*GalDry</f>
        <v>#N/A</v>
      </c>
      <c r="O44" s="79" t="s">
        <v>65</v>
      </c>
      <c r="P44" s="79"/>
      <c r="Q44" s="76" t="b">
        <f>IF('Calculation Sheet'!$G$17="Yes",WGE!I44/CompactRatio)</f>
        <v>0</v>
      </c>
      <c r="R44" s="76"/>
    </row>
    <row r="45" spans="1:18" outlineLevel="1" x14ac:dyDescent="0.25">
      <c r="A45" s="49" t="s">
        <v>107</v>
      </c>
      <c r="B45" s="50"/>
      <c r="C45" s="51"/>
      <c r="D45" s="12" t="e">
        <f>IF('Calculation Sheet'!$G$15="EDUCATION",WGE!$C$7*CalculationData!H8)</f>
        <v>#N/A</v>
      </c>
      <c r="E45" s="6" t="s">
        <v>72</v>
      </c>
      <c r="G45" s="52" t="s">
        <v>107</v>
      </c>
      <c r="H45" s="53"/>
      <c r="I45" s="12" t="e">
        <f>D45/FW_density</f>
        <v>#N/A</v>
      </c>
      <c r="K45" s="52" t="s">
        <v>107</v>
      </c>
      <c r="L45" s="53"/>
      <c r="M45" s="12" t="e">
        <f>I45*GalWet</f>
        <v>#N/A</v>
      </c>
      <c r="O45" s="14"/>
      <c r="P45" s="14"/>
      <c r="Q45" s="13"/>
      <c r="R45" s="13"/>
    </row>
    <row r="46" spans="1:18" outlineLevel="1" x14ac:dyDescent="0.25">
      <c r="A46" s="72" t="s">
        <v>95</v>
      </c>
      <c r="B46" s="72"/>
      <c r="C46" s="72"/>
      <c r="D46" s="12" t="e">
        <f>IF('Calculation Sheet'!$G$15="EDUCATION",WGE!$C$7*CalculationData!I8)</f>
        <v>#N/A</v>
      </c>
      <c r="E46" s="6" t="s">
        <v>72</v>
      </c>
      <c r="G46" s="48" t="s">
        <v>95</v>
      </c>
      <c r="H46" s="48"/>
      <c r="I46" s="12" t="e">
        <f>D46/Org_density</f>
        <v>#N/A</v>
      </c>
      <c r="K46" s="48" t="s">
        <v>95</v>
      </c>
      <c r="L46" s="48"/>
      <c r="M46" s="12" t="e">
        <f>I46*GalWet</f>
        <v>#N/A</v>
      </c>
    </row>
    <row r="47" spans="1:18" outlineLevel="1" x14ac:dyDescent="0.25">
      <c r="A47" s="73" t="s">
        <v>68</v>
      </c>
      <c r="B47" s="73"/>
      <c r="C47" s="73"/>
      <c r="D47" s="12" t="e">
        <f>IF('Calculation Sheet'!$G$15="EDUCATION",WGE!$C$7*CalculationData!J8)</f>
        <v>#N/A</v>
      </c>
      <c r="E47" s="6" t="s">
        <v>72</v>
      </c>
    </row>
    <row r="49" spans="1:18" outlineLevel="1" x14ac:dyDescent="0.25"/>
    <row r="50" spans="1:18" outlineLevel="1" x14ac:dyDescent="0.25">
      <c r="A50" s="1" t="s">
        <v>88</v>
      </c>
      <c r="G50" s="1" t="s">
        <v>91</v>
      </c>
      <c r="K50" s="1" t="s">
        <v>126</v>
      </c>
      <c r="O50" s="1" t="s">
        <v>92</v>
      </c>
    </row>
    <row r="51" spans="1:18" outlineLevel="1" x14ac:dyDescent="0.25">
      <c r="A51" s="62" t="s">
        <v>141</v>
      </c>
      <c r="B51" s="62"/>
      <c r="C51" s="62"/>
      <c r="D51" s="12" t="e">
        <f>IF('Calculation Sheet'!$G$15="HEALTH",WGE!$C$7*CalculationData!F9)</f>
        <v>#N/A</v>
      </c>
      <c r="E51" s="6" t="s">
        <v>72</v>
      </c>
      <c r="G51" s="75" t="s">
        <v>66</v>
      </c>
      <c r="H51" s="75"/>
      <c r="I51" s="12" t="e">
        <f>D51/SW_density</f>
        <v>#N/A</v>
      </c>
      <c r="K51" s="75" t="s">
        <v>66</v>
      </c>
      <c r="L51" s="75"/>
      <c r="M51" s="12" t="e">
        <f>I51*GalWet</f>
        <v>#N/A</v>
      </c>
      <c r="O51" s="75" t="s">
        <v>66</v>
      </c>
      <c r="P51" s="75"/>
      <c r="Q51" s="76" t="b">
        <f>IF('Calculation Sheet'!$G$17="Yes",WGE!I51/CompactRatio)</f>
        <v>0</v>
      </c>
      <c r="R51" s="76"/>
    </row>
    <row r="52" spans="1:18" outlineLevel="1" x14ac:dyDescent="0.25">
      <c r="A52" s="74" t="s">
        <v>67</v>
      </c>
      <c r="B52" s="74"/>
      <c r="C52" s="74"/>
      <c r="D52" s="12" t="e">
        <f>(IF('Calculation Sheet'!$G$15="HEALTH",WGE!$C$7*CalculationData!G9))*0.75</f>
        <v>#N/A</v>
      </c>
      <c r="E52" s="6" t="s">
        <v>72</v>
      </c>
      <c r="G52" s="79" t="s">
        <v>65</v>
      </c>
      <c r="H52" s="79"/>
      <c r="I52" s="12" t="e">
        <f>D52/R_density</f>
        <v>#N/A</v>
      </c>
      <c r="K52" s="79" t="s">
        <v>65</v>
      </c>
      <c r="L52" s="79"/>
      <c r="M52" s="12" t="e">
        <f>I52*GalDry</f>
        <v>#N/A</v>
      </c>
      <c r="O52" s="79" t="s">
        <v>65</v>
      </c>
      <c r="P52" s="79"/>
      <c r="Q52" s="76" t="b">
        <f>IF('Calculation Sheet'!$G$17="Yes",WGE!I52/CompactRatio)</f>
        <v>0</v>
      </c>
      <c r="R52" s="76"/>
    </row>
    <row r="53" spans="1:18" outlineLevel="1" x14ac:dyDescent="0.25">
      <c r="A53" s="49" t="s">
        <v>107</v>
      </c>
      <c r="B53" s="50"/>
      <c r="C53" s="51"/>
      <c r="D53" s="12" t="e">
        <f>IF('Calculation Sheet'!$G$15="HEALTH",WGE!$C$7*CalculationData!H9)</f>
        <v>#N/A</v>
      </c>
      <c r="E53" s="6" t="s">
        <v>72</v>
      </c>
      <c r="G53" s="52" t="s">
        <v>107</v>
      </c>
      <c r="H53" s="53"/>
      <c r="I53" s="12" t="e">
        <f>D53/FW_density</f>
        <v>#N/A</v>
      </c>
      <c r="K53" s="52" t="s">
        <v>107</v>
      </c>
      <c r="L53" s="53"/>
      <c r="M53" s="12" t="e">
        <f>I53*GalWet</f>
        <v>#N/A</v>
      </c>
      <c r="O53" s="14"/>
      <c r="P53" s="14"/>
      <c r="Q53" s="13"/>
      <c r="R53" s="13"/>
    </row>
    <row r="54" spans="1:18" outlineLevel="1" x14ac:dyDescent="0.25">
      <c r="A54" s="72" t="s">
        <v>95</v>
      </c>
      <c r="B54" s="72"/>
      <c r="C54" s="72"/>
      <c r="D54" s="12" t="e">
        <f>IF('Calculation Sheet'!$G$15="HEALTH",WGE!$C$7*CalculationData!I9)</f>
        <v>#N/A</v>
      </c>
      <c r="E54" s="6" t="s">
        <v>72</v>
      </c>
      <c r="G54" s="48" t="s">
        <v>95</v>
      </c>
      <c r="H54" s="48"/>
      <c r="I54" s="12" t="e">
        <f>D54/Org_density</f>
        <v>#N/A</v>
      </c>
      <c r="K54" s="48" t="s">
        <v>95</v>
      </c>
      <c r="L54" s="48"/>
      <c r="M54" s="12" t="e">
        <f>I54*GalWet</f>
        <v>#N/A</v>
      </c>
    </row>
    <row r="55" spans="1:18" outlineLevel="1" x14ac:dyDescent="0.25">
      <c r="A55" s="73" t="s">
        <v>68</v>
      </c>
      <c r="B55" s="73"/>
      <c r="C55" s="73"/>
      <c r="D55" s="12" t="e">
        <f>IF('Calculation Sheet'!$G$15="HEALTH",WGE!$C$7*CalculationData!J9)</f>
        <v>#N/A</v>
      </c>
      <c r="E55" s="6" t="s">
        <v>72</v>
      </c>
    </row>
    <row r="57" spans="1:18" outlineLevel="1" x14ac:dyDescent="0.25"/>
    <row r="58" spans="1:18" outlineLevel="1" x14ac:dyDescent="0.25">
      <c r="A58" s="1" t="s">
        <v>135</v>
      </c>
      <c r="G58" s="1" t="s">
        <v>91</v>
      </c>
      <c r="K58" s="1" t="s">
        <v>126</v>
      </c>
      <c r="O58" s="1" t="s">
        <v>92</v>
      </c>
    </row>
    <row r="59" spans="1:18" outlineLevel="1" x14ac:dyDescent="0.25">
      <c r="A59" s="62" t="s">
        <v>141</v>
      </c>
      <c r="B59" s="62"/>
      <c r="C59" s="62"/>
      <c r="D59" s="12" t="e">
        <f>IF('Calculation Sheet'!$G$15="MI",WGE!$C$7*CalculationData!F10)</f>
        <v>#N/A</v>
      </c>
      <c r="E59" s="6" t="s">
        <v>72</v>
      </c>
      <c r="G59" s="75" t="s">
        <v>66</v>
      </c>
      <c r="H59" s="75"/>
      <c r="I59" s="12" t="e">
        <f>D59/SW_density</f>
        <v>#N/A</v>
      </c>
      <c r="K59" s="75" t="s">
        <v>66</v>
      </c>
      <c r="L59" s="75"/>
      <c r="M59" s="12" t="e">
        <f>I59*GalWet</f>
        <v>#N/A</v>
      </c>
      <c r="O59" s="75" t="s">
        <v>66</v>
      </c>
      <c r="P59" s="75"/>
      <c r="Q59" s="76" t="b">
        <f>IF('Calculation Sheet'!$G$17="Yes",WGE!I59/CompactRatio)</f>
        <v>0</v>
      </c>
      <c r="R59" s="76"/>
    </row>
    <row r="60" spans="1:18" outlineLevel="1" x14ac:dyDescent="0.25">
      <c r="A60" s="74" t="s">
        <v>67</v>
      </c>
      <c r="B60" s="74"/>
      <c r="C60" s="74"/>
      <c r="D60" s="12" t="e">
        <f>(IF('Calculation Sheet'!$G$15="MI",WGE!$C$7*CalculationData!G10))*0.75</f>
        <v>#N/A</v>
      </c>
      <c r="E60" s="6" t="s">
        <v>72</v>
      </c>
      <c r="G60" s="79" t="s">
        <v>65</v>
      </c>
      <c r="H60" s="79"/>
      <c r="I60" s="12" t="e">
        <f>D60/R_density</f>
        <v>#N/A</v>
      </c>
      <c r="K60" s="79" t="s">
        <v>65</v>
      </c>
      <c r="L60" s="79"/>
      <c r="M60" s="12" t="e">
        <f>I60*GalDry</f>
        <v>#N/A</v>
      </c>
      <c r="O60" s="79" t="s">
        <v>65</v>
      </c>
      <c r="P60" s="79"/>
      <c r="Q60" s="76" t="b">
        <f>IF('Calculation Sheet'!$G$17="Yes",WGE!I60/CompactRatio)</f>
        <v>0</v>
      </c>
      <c r="R60" s="76"/>
    </row>
    <row r="61" spans="1:18" outlineLevel="1" x14ac:dyDescent="0.25">
      <c r="A61" s="49" t="s">
        <v>107</v>
      </c>
      <c r="B61" s="50"/>
      <c r="C61" s="51"/>
      <c r="D61" s="12" t="e">
        <f>IF('Calculation Sheet'!$G$15="MI",WGE!$C$7*CalculationData!H10)</f>
        <v>#N/A</v>
      </c>
      <c r="E61" s="6" t="s">
        <v>72</v>
      </c>
      <c r="G61" s="52" t="s">
        <v>107</v>
      </c>
      <c r="H61" s="53"/>
      <c r="I61" s="12" t="e">
        <f>D61/FW_density</f>
        <v>#N/A</v>
      </c>
      <c r="K61" s="52" t="s">
        <v>107</v>
      </c>
      <c r="L61" s="53"/>
      <c r="M61" s="12" t="e">
        <f>I61*GalWet</f>
        <v>#N/A</v>
      </c>
      <c r="O61" s="14"/>
      <c r="P61" s="14"/>
      <c r="Q61" s="13"/>
      <c r="R61" s="13"/>
    </row>
    <row r="62" spans="1:18" outlineLevel="1" x14ac:dyDescent="0.25">
      <c r="A62" s="72" t="s">
        <v>95</v>
      </c>
      <c r="B62" s="72"/>
      <c r="C62" s="72"/>
      <c r="D62" s="12" t="e">
        <f>IF('Calculation Sheet'!$G$15="MI",WGE!$C$7*CalculationData!I10)</f>
        <v>#N/A</v>
      </c>
      <c r="E62" s="6" t="s">
        <v>72</v>
      </c>
      <c r="G62" s="48" t="s">
        <v>95</v>
      </c>
      <c r="H62" s="48"/>
      <c r="I62" s="12" t="e">
        <f>D62/Org_density</f>
        <v>#N/A</v>
      </c>
      <c r="K62" s="48" t="s">
        <v>95</v>
      </c>
      <c r="L62" s="48"/>
      <c r="M62" s="12" t="e">
        <f>I62*GalWet</f>
        <v>#N/A</v>
      </c>
    </row>
    <row r="63" spans="1:18" outlineLevel="1" x14ac:dyDescent="0.25">
      <c r="A63" s="73" t="s">
        <v>68</v>
      </c>
      <c r="B63" s="73"/>
      <c r="C63" s="73"/>
      <c r="D63" s="12" t="e">
        <f>IF('Calculation Sheet'!$G$15="MI",WGE!$C$7*CalculationData!J10)</f>
        <v>#N/A</v>
      </c>
      <c r="E63" s="6" t="s">
        <v>72</v>
      </c>
    </row>
    <row r="65" spans="1:18" outlineLevel="1" x14ac:dyDescent="0.25"/>
    <row r="66" spans="1:18" outlineLevel="1" x14ac:dyDescent="0.25">
      <c r="A66" s="1" t="s">
        <v>136</v>
      </c>
      <c r="G66" s="1" t="s">
        <v>91</v>
      </c>
      <c r="K66" s="1" t="s">
        <v>126</v>
      </c>
      <c r="O66" s="1" t="s">
        <v>92</v>
      </c>
    </row>
    <row r="67" spans="1:18" outlineLevel="1" x14ac:dyDescent="0.25">
      <c r="A67" s="62" t="s">
        <v>141</v>
      </c>
      <c r="B67" s="62"/>
      <c r="C67" s="62"/>
      <c r="D67" s="12" t="e">
        <f>IF('Calculation Sheet'!$G$15="SMI",WGE!$C$7*CalculationData!F11)</f>
        <v>#N/A</v>
      </c>
      <c r="E67" s="6" t="s">
        <v>72</v>
      </c>
      <c r="G67" s="75" t="s">
        <v>66</v>
      </c>
      <c r="H67" s="75"/>
      <c r="I67" s="12" t="e">
        <f>D67/SW_density</f>
        <v>#N/A</v>
      </c>
      <c r="K67" s="75" t="s">
        <v>66</v>
      </c>
      <c r="L67" s="75"/>
      <c r="M67" s="12" t="e">
        <f>I67*GalWet</f>
        <v>#N/A</v>
      </c>
      <c r="O67" s="75" t="s">
        <v>66</v>
      </c>
      <c r="P67" s="75"/>
      <c r="Q67" s="76" t="b">
        <f>IF('Calculation Sheet'!$G$17="Yes",WGE!I67/CompactRatio)</f>
        <v>0</v>
      </c>
      <c r="R67" s="76"/>
    </row>
    <row r="68" spans="1:18" outlineLevel="1" x14ac:dyDescent="0.25">
      <c r="A68" s="74" t="s">
        <v>67</v>
      </c>
      <c r="B68" s="74"/>
      <c r="C68" s="74"/>
      <c r="D68" s="12" t="e">
        <f>(IF('Calculation Sheet'!$G$15="SMI",WGE!$C$7*CalculationData!G11))*0.75</f>
        <v>#N/A</v>
      </c>
      <c r="E68" s="6" t="s">
        <v>72</v>
      </c>
      <c r="G68" s="79" t="s">
        <v>65</v>
      </c>
      <c r="H68" s="79"/>
      <c r="I68" s="12" t="e">
        <f>D68/R_density</f>
        <v>#N/A</v>
      </c>
      <c r="K68" s="79" t="s">
        <v>65</v>
      </c>
      <c r="L68" s="79"/>
      <c r="M68" s="12" t="e">
        <f>I68*GalDry</f>
        <v>#N/A</v>
      </c>
      <c r="O68" s="79" t="s">
        <v>65</v>
      </c>
      <c r="P68" s="79"/>
      <c r="Q68" s="76" t="b">
        <f>IF('Calculation Sheet'!$G$17="Yes",WGE!I68/CompactRatio)</f>
        <v>0</v>
      </c>
      <c r="R68" s="76"/>
    </row>
    <row r="69" spans="1:18" outlineLevel="1" x14ac:dyDescent="0.25">
      <c r="A69" s="49" t="s">
        <v>107</v>
      </c>
      <c r="B69" s="50"/>
      <c r="C69" s="51"/>
      <c r="D69" s="12" t="e">
        <f>IF('Calculation Sheet'!$G$15="SMI",WGE!$C$7*CalculationData!H11)</f>
        <v>#N/A</v>
      </c>
      <c r="E69" s="6" t="s">
        <v>72</v>
      </c>
      <c r="G69" s="52" t="s">
        <v>107</v>
      </c>
      <c r="H69" s="53"/>
      <c r="I69" s="12" t="e">
        <f>D69/FW_density</f>
        <v>#N/A</v>
      </c>
      <c r="K69" s="52" t="s">
        <v>107</v>
      </c>
      <c r="L69" s="53"/>
      <c r="M69" s="12" t="e">
        <f>I69*GalWet</f>
        <v>#N/A</v>
      </c>
      <c r="O69" s="14"/>
      <c r="P69" s="14"/>
      <c r="Q69" s="13"/>
      <c r="R69" s="13"/>
    </row>
    <row r="70" spans="1:18" outlineLevel="1" x14ac:dyDescent="0.25">
      <c r="A70" s="72" t="s">
        <v>95</v>
      </c>
      <c r="B70" s="72"/>
      <c r="C70" s="72"/>
      <c r="D70" s="12" t="e">
        <f>IF('Calculation Sheet'!$G$15="SMI",WGE!$C$7*CalculationData!I11)</f>
        <v>#N/A</v>
      </c>
      <c r="E70" s="6" t="s">
        <v>72</v>
      </c>
      <c r="G70" s="48" t="s">
        <v>95</v>
      </c>
      <c r="H70" s="48"/>
      <c r="I70" s="12" t="e">
        <f>D70/Org_density</f>
        <v>#N/A</v>
      </c>
      <c r="K70" s="48" t="s">
        <v>95</v>
      </c>
      <c r="L70" s="48"/>
      <c r="M70" s="12" t="e">
        <f>I70*GalWet</f>
        <v>#N/A</v>
      </c>
    </row>
    <row r="71" spans="1:18" outlineLevel="1" x14ac:dyDescent="0.25">
      <c r="A71" s="73" t="s">
        <v>68</v>
      </c>
      <c r="B71" s="73"/>
      <c r="C71" s="73"/>
      <c r="D71" s="12" t="e">
        <f>IF('Calculation Sheet'!$G$15="SMI",WGE!$C$7*CalculationData!J11)</f>
        <v>#N/A</v>
      </c>
      <c r="E71" s="6" t="s">
        <v>72</v>
      </c>
    </row>
    <row r="73" spans="1:18" outlineLevel="1" x14ac:dyDescent="0.25"/>
    <row r="74" spans="1:18" outlineLevel="1" x14ac:dyDescent="0.25">
      <c r="A74" s="1" t="s">
        <v>137</v>
      </c>
      <c r="G74" s="1" t="s">
        <v>91</v>
      </c>
      <c r="K74" s="1" t="s">
        <v>126</v>
      </c>
      <c r="O74" s="1" t="s">
        <v>92</v>
      </c>
    </row>
    <row r="75" spans="1:18" outlineLevel="1" x14ac:dyDescent="0.25">
      <c r="A75" s="62" t="s">
        <v>141</v>
      </c>
      <c r="B75" s="62"/>
      <c r="C75" s="62"/>
      <c r="D75" s="12" t="e">
        <f>IF('Calculation Sheet'!$G$15="OA",WGE!$C$7*CalculationData!F12)</f>
        <v>#N/A</v>
      </c>
      <c r="E75" s="6" t="s">
        <v>72</v>
      </c>
      <c r="G75" s="63" t="s">
        <v>66</v>
      </c>
      <c r="H75" s="64"/>
      <c r="I75" s="12" t="e">
        <f>D75/SW_density</f>
        <v>#N/A</v>
      </c>
      <c r="K75" s="63" t="s">
        <v>66</v>
      </c>
      <c r="L75" s="64"/>
      <c r="M75" s="12" t="e">
        <f>I75*GalWet</f>
        <v>#N/A</v>
      </c>
      <c r="O75" s="63" t="s">
        <v>66</v>
      </c>
      <c r="P75" s="64"/>
      <c r="Q75" s="65" t="b">
        <f>IF('Calculation Sheet'!$G$17="Yes",WGE!I75/CompactRatio)</f>
        <v>0</v>
      </c>
      <c r="R75" s="66"/>
    </row>
    <row r="76" spans="1:18" outlineLevel="1" x14ac:dyDescent="0.25">
      <c r="A76" s="67" t="s">
        <v>67</v>
      </c>
      <c r="B76" s="68"/>
      <c r="C76" s="69"/>
      <c r="D76" s="12" t="e">
        <f>(IF('Calculation Sheet'!$G$15="OA",WGE!$C$7*CalculationData!G12))*0.75</f>
        <v>#N/A</v>
      </c>
      <c r="E76" s="6" t="s">
        <v>72</v>
      </c>
      <c r="G76" s="70" t="s">
        <v>65</v>
      </c>
      <c r="H76" s="71"/>
      <c r="I76" s="12" t="e">
        <f>D76/R_density</f>
        <v>#N/A</v>
      </c>
      <c r="K76" s="70" t="s">
        <v>65</v>
      </c>
      <c r="L76" s="71"/>
      <c r="M76" s="12" t="e">
        <f>I76*GalDry</f>
        <v>#N/A</v>
      </c>
      <c r="O76" s="70" t="s">
        <v>65</v>
      </c>
      <c r="P76" s="71"/>
      <c r="Q76" s="65" t="b">
        <f>IF('Calculation Sheet'!$G$17="Yes",WGE!I76/CompactRatio)</f>
        <v>0</v>
      </c>
      <c r="R76" s="66"/>
    </row>
    <row r="77" spans="1:18" outlineLevel="1" x14ac:dyDescent="0.25">
      <c r="A77" s="49" t="s">
        <v>107</v>
      </c>
      <c r="B77" s="50"/>
      <c r="C77" s="51"/>
      <c r="D77" s="12" t="e">
        <f>IF('Calculation Sheet'!$G$15="OA",WGE!$C$7*CalculationData!H12)</f>
        <v>#N/A</v>
      </c>
      <c r="E77" s="6" t="s">
        <v>72</v>
      </c>
      <c r="G77" s="52" t="s">
        <v>107</v>
      </c>
      <c r="H77" s="53"/>
      <c r="I77" s="12" t="e">
        <f>D77/FW_density</f>
        <v>#N/A</v>
      </c>
      <c r="K77" s="52" t="s">
        <v>107</v>
      </c>
      <c r="L77" s="53"/>
      <c r="M77" s="12" t="e">
        <f>I77*GalWet</f>
        <v>#N/A</v>
      </c>
      <c r="O77" s="14"/>
      <c r="P77" s="14"/>
      <c r="Q77" s="13"/>
      <c r="R77" s="13"/>
    </row>
    <row r="78" spans="1:18" outlineLevel="1" x14ac:dyDescent="0.25">
      <c r="A78" s="54" t="s">
        <v>95</v>
      </c>
      <c r="B78" s="55"/>
      <c r="C78" s="56"/>
      <c r="D78" s="12" t="e">
        <f>IF('Calculation Sheet'!$G$15="OA",WGE!$C$7*CalculationData!I12)</f>
        <v>#N/A</v>
      </c>
      <c r="E78" s="6" t="s">
        <v>72</v>
      </c>
      <c r="G78" s="57" t="s">
        <v>95</v>
      </c>
      <c r="H78" s="58"/>
      <c r="I78" s="12" t="e">
        <f>D78/Org_density</f>
        <v>#N/A</v>
      </c>
      <c r="K78" s="57" t="s">
        <v>95</v>
      </c>
      <c r="L78" s="58"/>
      <c r="M78" s="12" t="e">
        <f>I78*GalWet</f>
        <v>#N/A</v>
      </c>
    </row>
    <row r="79" spans="1:18" outlineLevel="1" x14ac:dyDescent="0.25">
      <c r="A79" s="59" t="s">
        <v>68</v>
      </c>
      <c r="B79" s="60"/>
      <c r="C79" s="61"/>
      <c r="D79" s="12" t="e">
        <f>IF('Calculation Sheet'!$G$15="OA",WGE!$C$7*CalculationData!J12)</f>
        <v>#N/A</v>
      </c>
      <c r="E79" s="6" t="s">
        <v>72</v>
      </c>
    </row>
    <row r="81" spans="1:18" outlineLevel="1" x14ac:dyDescent="0.25"/>
    <row r="82" spans="1:18" outlineLevel="1" x14ac:dyDescent="0.25">
      <c r="A82" s="1" t="s">
        <v>90</v>
      </c>
      <c r="G82" s="1" t="s">
        <v>91</v>
      </c>
      <c r="K82" s="1" t="s">
        <v>126</v>
      </c>
      <c r="O82" s="1" t="s">
        <v>92</v>
      </c>
    </row>
    <row r="83" spans="1:18" outlineLevel="1" x14ac:dyDescent="0.25">
      <c r="A83" s="62" t="s">
        <v>141</v>
      </c>
      <c r="B83" s="62"/>
      <c r="C83" s="62"/>
      <c r="D83" s="12" t="e">
        <f>IF('Calculation Sheet'!$G$15="FBSTORE",WGE!$C$7*CalculationData!F13)</f>
        <v>#N/A</v>
      </c>
      <c r="E83" s="6" t="s">
        <v>72</v>
      </c>
      <c r="G83" s="75" t="s">
        <v>66</v>
      </c>
      <c r="H83" s="75"/>
      <c r="I83" s="12" t="e">
        <f>D83/SW_density</f>
        <v>#N/A</v>
      </c>
      <c r="K83" s="75" t="s">
        <v>66</v>
      </c>
      <c r="L83" s="75"/>
      <c r="M83" s="12" t="e">
        <f>I83*GalWet</f>
        <v>#N/A</v>
      </c>
      <c r="O83" s="75" t="s">
        <v>66</v>
      </c>
      <c r="P83" s="75"/>
      <c r="Q83" s="76" t="b">
        <f>IF('Calculation Sheet'!$G$17="Yes",WGE!I83/CompactRatio)</f>
        <v>0</v>
      </c>
      <c r="R83" s="76"/>
    </row>
    <row r="84" spans="1:18" outlineLevel="1" x14ac:dyDescent="0.25">
      <c r="A84" s="74" t="s">
        <v>67</v>
      </c>
      <c r="B84" s="74"/>
      <c r="C84" s="74"/>
      <c r="D84" s="12" t="e">
        <f>(IF('Calculation Sheet'!$G$15="FBSTORE",WGE!$C$7*CalculationData!G13))*0.75</f>
        <v>#N/A</v>
      </c>
      <c r="E84" s="6" t="s">
        <v>72</v>
      </c>
      <c r="G84" s="79" t="s">
        <v>65</v>
      </c>
      <c r="H84" s="79"/>
      <c r="I84" s="12" t="e">
        <f>D84/R_density</f>
        <v>#N/A</v>
      </c>
      <c r="K84" s="79" t="s">
        <v>65</v>
      </c>
      <c r="L84" s="79"/>
      <c r="M84" s="12" t="e">
        <f>I84*GalDry</f>
        <v>#N/A</v>
      </c>
      <c r="O84" s="79" t="s">
        <v>65</v>
      </c>
      <c r="P84" s="79"/>
      <c r="Q84" s="76" t="b">
        <f>IF('Calculation Sheet'!$G$17="Yes",WGE!I84/CompactRatio)</f>
        <v>0</v>
      </c>
      <c r="R84" s="76"/>
    </row>
    <row r="85" spans="1:18" outlineLevel="1" x14ac:dyDescent="0.25">
      <c r="A85" s="49" t="s">
        <v>107</v>
      </c>
      <c r="B85" s="50"/>
      <c r="C85" s="51"/>
      <c r="D85" s="12" t="e">
        <f>IF('Calculation Sheet'!$G$15="FBSTORE",WGE!$C$7*CalculationData!H13)</f>
        <v>#N/A</v>
      </c>
      <c r="E85" s="6" t="s">
        <v>72</v>
      </c>
      <c r="G85" s="52" t="s">
        <v>107</v>
      </c>
      <c r="H85" s="53"/>
      <c r="I85" s="12" t="e">
        <f>D85/FW_density</f>
        <v>#N/A</v>
      </c>
      <c r="K85" s="52" t="s">
        <v>107</v>
      </c>
      <c r="L85" s="53"/>
      <c r="M85" s="12" t="e">
        <f>I85*GalWet</f>
        <v>#N/A</v>
      </c>
      <c r="O85" s="14"/>
      <c r="P85" s="14"/>
      <c r="Q85" s="13"/>
      <c r="R85" s="13"/>
    </row>
    <row r="86" spans="1:18" outlineLevel="1" x14ac:dyDescent="0.25">
      <c r="A86" s="72" t="s">
        <v>95</v>
      </c>
      <c r="B86" s="72"/>
      <c r="C86" s="72"/>
      <c r="D86" s="12" t="e">
        <f>IF('Calculation Sheet'!$G$15="FBSTORE",WGE!$C$7*CalculationData!I13)</f>
        <v>#N/A</v>
      </c>
      <c r="E86" s="6" t="s">
        <v>72</v>
      </c>
      <c r="G86" s="48" t="s">
        <v>95</v>
      </c>
      <c r="H86" s="48"/>
      <c r="I86" s="12" t="e">
        <f>D86/Org_density</f>
        <v>#N/A</v>
      </c>
      <c r="K86" s="48" t="s">
        <v>95</v>
      </c>
      <c r="L86" s="48"/>
      <c r="M86" s="12" t="e">
        <f>I86*GalWet</f>
        <v>#N/A</v>
      </c>
    </row>
    <row r="87" spans="1:18" outlineLevel="1" x14ac:dyDescent="0.25">
      <c r="A87" s="73" t="s">
        <v>68</v>
      </c>
      <c r="B87" s="73"/>
      <c r="C87" s="73"/>
      <c r="D87" s="12" t="e">
        <f>IF('Calculation Sheet'!$G$15="FBSTORE",WGE!$C$7*CalculationData!J13)</f>
        <v>#N/A</v>
      </c>
      <c r="E87" s="6" t="s">
        <v>72</v>
      </c>
    </row>
    <row r="89" spans="1:18" outlineLevel="1" x14ac:dyDescent="0.25"/>
    <row r="90" spans="1:18" outlineLevel="1" x14ac:dyDescent="0.25">
      <c r="A90" s="1" t="s">
        <v>98</v>
      </c>
      <c r="G90" s="1" t="s">
        <v>91</v>
      </c>
      <c r="K90" s="1" t="s">
        <v>126</v>
      </c>
      <c r="O90" s="1" t="s">
        <v>92</v>
      </c>
    </row>
    <row r="91" spans="1:18" outlineLevel="1" x14ac:dyDescent="0.25">
      <c r="A91" s="62" t="s">
        <v>141</v>
      </c>
      <c r="B91" s="62"/>
      <c r="C91" s="62"/>
      <c r="D91" s="12" t="e">
        <f>IF('Calculation Sheet'!$G$15="RETAIL",WGE!$C$7*CalculationData!F14)</f>
        <v>#N/A</v>
      </c>
      <c r="E91" s="6" t="s">
        <v>72</v>
      </c>
      <c r="G91" s="63" t="s">
        <v>66</v>
      </c>
      <c r="H91" s="64"/>
      <c r="I91" s="12" t="e">
        <f>D91/SW_density</f>
        <v>#N/A</v>
      </c>
      <c r="K91" s="63" t="s">
        <v>66</v>
      </c>
      <c r="L91" s="64"/>
      <c r="M91" s="12" t="e">
        <f>I91*GalWet</f>
        <v>#N/A</v>
      </c>
      <c r="O91" s="63" t="s">
        <v>66</v>
      </c>
      <c r="P91" s="64"/>
      <c r="Q91" s="65" t="b">
        <f>IF('Calculation Sheet'!$G$17="Yes",WGE!I91/CompactRatio)</f>
        <v>0</v>
      </c>
      <c r="R91" s="66"/>
    </row>
    <row r="92" spans="1:18" outlineLevel="1" x14ac:dyDescent="0.25">
      <c r="A92" s="67" t="s">
        <v>67</v>
      </c>
      <c r="B92" s="68"/>
      <c r="C92" s="69"/>
      <c r="D92" s="12" t="e">
        <f>(IF('Calculation Sheet'!$G$15="RETAIL",WGE!$C$7*CalculationData!G14))*0.75</f>
        <v>#N/A</v>
      </c>
      <c r="E92" s="6" t="s">
        <v>72</v>
      </c>
      <c r="G92" s="70" t="s">
        <v>65</v>
      </c>
      <c r="H92" s="71"/>
      <c r="I92" s="12" t="e">
        <f>D92/R_density</f>
        <v>#N/A</v>
      </c>
      <c r="K92" s="70" t="s">
        <v>65</v>
      </c>
      <c r="L92" s="71"/>
      <c r="M92" s="12" t="e">
        <f>I92*GalDry</f>
        <v>#N/A</v>
      </c>
      <c r="O92" s="70" t="s">
        <v>65</v>
      </c>
      <c r="P92" s="71"/>
      <c r="Q92" s="65" t="b">
        <f>IF('Calculation Sheet'!$G$17="Yes",WGE!I92/CompactRatio)</f>
        <v>0</v>
      </c>
      <c r="R92" s="66"/>
    </row>
    <row r="93" spans="1:18" outlineLevel="1" x14ac:dyDescent="0.25">
      <c r="A93" s="49" t="s">
        <v>107</v>
      </c>
      <c r="B93" s="50"/>
      <c r="C93" s="51"/>
      <c r="D93" s="12" t="e">
        <f>IF('Calculation Sheet'!$G$15="RETAIL",WGE!$C$7*CalculationData!H14)</f>
        <v>#N/A</v>
      </c>
      <c r="E93" s="6" t="s">
        <v>72</v>
      </c>
      <c r="G93" s="52" t="s">
        <v>107</v>
      </c>
      <c r="H93" s="53"/>
      <c r="I93" s="12" t="e">
        <f>D93/FW_density</f>
        <v>#N/A</v>
      </c>
      <c r="K93" s="52" t="s">
        <v>107</v>
      </c>
      <c r="L93" s="53"/>
      <c r="M93" s="12" t="e">
        <f>I93*GalWet</f>
        <v>#N/A</v>
      </c>
      <c r="O93" s="14"/>
      <c r="P93" s="14"/>
      <c r="Q93" s="13"/>
      <c r="R93" s="13"/>
    </row>
    <row r="94" spans="1:18" outlineLevel="1" x14ac:dyDescent="0.25">
      <c r="A94" s="54" t="s">
        <v>95</v>
      </c>
      <c r="B94" s="55"/>
      <c r="C94" s="56"/>
      <c r="D94" s="12" t="e">
        <f>IF('Calculation Sheet'!$G$15="RETAIL",WGE!$C$7*CalculationData!I14)</f>
        <v>#N/A</v>
      </c>
      <c r="E94" s="6" t="s">
        <v>72</v>
      </c>
      <c r="G94" s="57" t="s">
        <v>95</v>
      </c>
      <c r="H94" s="58"/>
      <c r="I94" s="12" t="e">
        <f>D94/Org_density</f>
        <v>#N/A</v>
      </c>
      <c r="K94" s="57" t="s">
        <v>95</v>
      </c>
      <c r="L94" s="58"/>
      <c r="M94" s="12" t="e">
        <f>I94*GalWet</f>
        <v>#N/A</v>
      </c>
    </row>
    <row r="95" spans="1:18" outlineLevel="1" x14ac:dyDescent="0.25">
      <c r="A95" s="59" t="s">
        <v>68</v>
      </c>
      <c r="B95" s="60"/>
      <c r="C95" s="61"/>
      <c r="D95" s="12" t="e">
        <f>IF('Calculation Sheet'!$G$15="RETAIL",WGE!$C$7*CalculationData!J14)</f>
        <v>#N/A</v>
      </c>
      <c r="E95" s="6" t="s">
        <v>72</v>
      </c>
    </row>
    <row r="97" spans="1:18" outlineLevel="1" x14ac:dyDescent="0.25"/>
    <row r="98" spans="1:18" outlineLevel="1" x14ac:dyDescent="0.25">
      <c r="A98" s="1" t="s">
        <v>99</v>
      </c>
      <c r="G98" s="1" t="s">
        <v>91</v>
      </c>
      <c r="K98" s="1" t="s">
        <v>126</v>
      </c>
      <c r="O98" s="1" t="s">
        <v>92</v>
      </c>
    </row>
    <row r="99" spans="1:18" outlineLevel="1" x14ac:dyDescent="0.25">
      <c r="A99" s="62" t="s">
        <v>141</v>
      </c>
      <c r="B99" s="62"/>
      <c r="C99" s="62"/>
      <c r="D99" s="12" t="e">
        <f>IF('Calculation Sheet'!$G$15="COM",WGE!$C$7*CalculationData!F15)</f>
        <v>#N/A</v>
      </c>
      <c r="E99" s="6" t="s">
        <v>72</v>
      </c>
      <c r="G99" s="63" t="s">
        <v>66</v>
      </c>
      <c r="H99" s="64"/>
      <c r="I99" s="12" t="e">
        <f>D99/SW_density</f>
        <v>#N/A</v>
      </c>
      <c r="K99" s="63" t="s">
        <v>66</v>
      </c>
      <c r="L99" s="64"/>
      <c r="M99" s="12" t="e">
        <f>I99*GalWet</f>
        <v>#N/A</v>
      </c>
      <c r="O99" s="63" t="s">
        <v>66</v>
      </c>
      <c r="P99" s="64"/>
      <c r="Q99" s="30" t="b">
        <f>IF('Calculation Sheet'!$G$17="Yes",WGE!I99/CompactRatio)</f>
        <v>0</v>
      </c>
      <c r="R99" s="31"/>
    </row>
    <row r="100" spans="1:18" outlineLevel="1" x14ac:dyDescent="0.25">
      <c r="A100" s="27" t="s">
        <v>67</v>
      </c>
      <c r="B100" s="28"/>
      <c r="C100" s="29"/>
      <c r="D100" s="12" t="e">
        <f>(IF('Calculation Sheet'!$G$15="COM",WGE!$C$7*CalculationData!G15))*0.75</f>
        <v>#N/A</v>
      </c>
      <c r="E100" s="6" t="s">
        <v>72</v>
      </c>
      <c r="G100" s="70" t="s">
        <v>65</v>
      </c>
      <c r="H100" s="71"/>
      <c r="I100" s="12" t="e">
        <f>D100/R_density</f>
        <v>#N/A</v>
      </c>
      <c r="K100" s="70" t="s">
        <v>65</v>
      </c>
      <c r="L100" s="71"/>
      <c r="M100" s="12" t="e">
        <f>I100*GalDry</f>
        <v>#N/A</v>
      </c>
      <c r="O100" s="70" t="s">
        <v>65</v>
      </c>
      <c r="P100" s="71"/>
      <c r="Q100" s="30" t="b">
        <f>IF('Calculation Sheet'!$G$17="Yes",WGE!I100/CompactRatio)</f>
        <v>0</v>
      </c>
      <c r="R100" s="31"/>
    </row>
    <row r="101" spans="1:18" outlineLevel="1" x14ac:dyDescent="0.25">
      <c r="A101" s="32" t="s">
        <v>107</v>
      </c>
      <c r="B101" s="33"/>
      <c r="C101" s="34"/>
      <c r="D101" s="12" t="e">
        <f>IF('Calculation Sheet'!$G$15="COM",WGE!$C$7*CalculationData!H15)</f>
        <v>#N/A</v>
      </c>
      <c r="E101" s="6" t="s">
        <v>72</v>
      </c>
      <c r="G101" s="52" t="s">
        <v>107</v>
      </c>
      <c r="H101" s="53"/>
      <c r="I101" s="12" t="e">
        <f>D101/FW_density</f>
        <v>#N/A</v>
      </c>
      <c r="K101" s="52" t="s">
        <v>107</v>
      </c>
      <c r="L101" s="53"/>
      <c r="M101" s="12" t="e">
        <f>I101*GalWet</f>
        <v>#N/A</v>
      </c>
      <c r="O101" s="14"/>
      <c r="P101" s="14"/>
      <c r="Q101" s="13"/>
      <c r="R101" s="13"/>
    </row>
    <row r="102" spans="1:18" outlineLevel="1" x14ac:dyDescent="0.25">
      <c r="A102" s="38" t="s">
        <v>95</v>
      </c>
      <c r="B102" s="39"/>
      <c r="C102" s="40"/>
      <c r="D102" s="12" t="e">
        <f>IF('Calculation Sheet'!$G$15="COM",WGE!$C$7*CalculationData!I15)</f>
        <v>#N/A</v>
      </c>
      <c r="E102" s="6" t="s">
        <v>72</v>
      </c>
      <c r="G102" s="57" t="s">
        <v>95</v>
      </c>
      <c r="H102" s="58"/>
      <c r="I102" s="12" t="e">
        <f>D102/Org_density</f>
        <v>#N/A</v>
      </c>
      <c r="K102" s="57" t="s">
        <v>95</v>
      </c>
      <c r="L102" s="58"/>
      <c r="M102" s="12" t="e">
        <f>I102*GalWet</f>
        <v>#N/A</v>
      </c>
    </row>
    <row r="103" spans="1:18" outlineLevel="1" x14ac:dyDescent="0.25">
      <c r="A103" s="35" t="s">
        <v>68</v>
      </c>
      <c r="B103" s="36"/>
      <c r="C103" s="37"/>
      <c r="D103" s="12" t="e">
        <f>IF('Calculation Sheet'!$G$15="COM",WGE!$C$7*CalculationData!J15)</f>
        <v>#N/A</v>
      </c>
      <c r="E103" s="6" t="s">
        <v>72</v>
      </c>
    </row>
  </sheetData>
  <mergeCells count="199">
    <mergeCell ref="O99:P99"/>
    <mergeCell ref="O100:P100"/>
    <mergeCell ref="A99:C99"/>
    <mergeCell ref="G99:H99"/>
    <mergeCell ref="G100:H100"/>
    <mergeCell ref="G101:H101"/>
    <mergeCell ref="G102:H102"/>
    <mergeCell ref="K99:L99"/>
    <mergeCell ref="K100:L100"/>
    <mergeCell ref="K101:L101"/>
    <mergeCell ref="K102:L102"/>
    <mergeCell ref="K78:L78"/>
    <mergeCell ref="K83:L83"/>
    <mergeCell ref="K84:L84"/>
    <mergeCell ref="K85:L85"/>
    <mergeCell ref="K86:L86"/>
    <mergeCell ref="K61:L61"/>
    <mergeCell ref="K62:L62"/>
    <mergeCell ref="K67:L67"/>
    <mergeCell ref="K68:L68"/>
    <mergeCell ref="K69:L69"/>
    <mergeCell ref="K70:L70"/>
    <mergeCell ref="K75:L75"/>
    <mergeCell ref="K76:L76"/>
    <mergeCell ref="K77:L77"/>
    <mergeCell ref="K29:L29"/>
    <mergeCell ref="K30:L30"/>
    <mergeCell ref="K43:L43"/>
    <mergeCell ref="K44:L44"/>
    <mergeCell ref="K45:L45"/>
    <mergeCell ref="K46:L46"/>
    <mergeCell ref="K51:L51"/>
    <mergeCell ref="K52:L52"/>
    <mergeCell ref="K53:L53"/>
    <mergeCell ref="K35:L35"/>
    <mergeCell ref="K36:L36"/>
    <mergeCell ref="K37:L37"/>
    <mergeCell ref="K38:L38"/>
    <mergeCell ref="K11:L11"/>
    <mergeCell ref="K12:L12"/>
    <mergeCell ref="K13:L13"/>
    <mergeCell ref="K14:L14"/>
    <mergeCell ref="K19:L19"/>
    <mergeCell ref="K20:L20"/>
    <mergeCell ref="K21:L21"/>
    <mergeCell ref="K22:L22"/>
    <mergeCell ref="K27:L27"/>
    <mergeCell ref="A85:C85"/>
    <mergeCell ref="G85:H85"/>
    <mergeCell ref="A86:C86"/>
    <mergeCell ref="G86:H86"/>
    <mergeCell ref="A87:C87"/>
    <mergeCell ref="O83:P83"/>
    <mergeCell ref="Q83:R83"/>
    <mergeCell ref="A84:C84"/>
    <mergeCell ref="G84:H84"/>
    <mergeCell ref="O84:P84"/>
    <mergeCell ref="Q84:R84"/>
    <mergeCell ref="G61:H61"/>
    <mergeCell ref="G69:H69"/>
    <mergeCell ref="G77:H77"/>
    <mergeCell ref="A83:C83"/>
    <mergeCell ref="G83:H83"/>
    <mergeCell ref="G78:H78"/>
    <mergeCell ref="A13:C13"/>
    <mergeCell ref="G13:H13"/>
    <mergeCell ref="A21:C21"/>
    <mergeCell ref="A29:C29"/>
    <mergeCell ref="A37:C37"/>
    <mergeCell ref="A45:C45"/>
    <mergeCell ref="A53:C53"/>
    <mergeCell ref="A61:C61"/>
    <mergeCell ref="A69:C69"/>
    <mergeCell ref="A77:C77"/>
    <mergeCell ref="G21:H21"/>
    <mergeCell ref="G29:H29"/>
    <mergeCell ref="G37:H37"/>
    <mergeCell ref="G45:H45"/>
    <mergeCell ref="G70:H70"/>
    <mergeCell ref="G75:H75"/>
    <mergeCell ref="G59:H59"/>
    <mergeCell ref="A75:C75"/>
    <mergeCell ref="O75:P75"/>
    <mergeCell ref="Q75:R75"/>
    <mergeCell ref="G76:H76"/>
    <mergeCell ref="O76:P76"/>
    <mergeCell ref="Q76:R76"/>
    <mergeCell ref="G62:H62"/>
    <mergeCell ref="G67:H67"/>
    <mergeCell ref="O67:P67"/>
    <mergeCell ref="Q67:R67"/>
    <mergeCell ref="G68:H68"/>
    <mergeCell ref="O68:P68"/>
    <mergeCell ref="Q68:R68"/>
    <mergeCell ref="G60:H60"/>
    <mergeCell ref="O60:P60"/>
    <mergeCell ref="Q60:R60"/>
    <mergeCell ref="O51:P51"/>
    <mergeCell ref="Q51:R51"/>
    <mergeCell ref="G52:H52"/>
    <mergeCell ref="O52:P52"/>
    <mergeCell ref="Q52:R52"/>
    <mergeCell ref="G53:H53"/>
    <mergeCell ref="K54:L54"/>
    <mergeCell ref="K59:L59"/>
    <mergeCell ref="K60:L60"/>
    <mergeCell ref="G44:H44"/>
    <mergeCell ref="O44:P44"/>
    <mergeCell ref="Q44:R44"/>
    <mergeCell ref="O35:P35"/>
    <mergeCell ref="Q35:R35"/>
    <mergeCell ref="G36:H36"/>
    <mergeCell ref="O36:P36"/>
    <mergeCell ref="Q36:R36"/>
    <mergeCell ref="O59:P59"/>
    <mergeCell ref="Q59:R59"/>
    <mergeCell ref="O27:P27"/>
    <mergeCell ref="Q27:R27"/>
    <mergeCell ref="G28:H28"/>
    <mergeCell ref="O28:P28"/>
    <mergeCell ref="Q28:R28"/>
    <mergeCell ref="O19:P19"/>
    <mergeCell ref="Q19:R19"/>
    <mergeCell ref="G20:H20"/>
    <mergeCell ref="O20:P20"/>
    <mergeCell ref="Q20:R20"/>
    <mergeCell ref="K28:L28"/>
    <mergeCell ref="O11:P11"/>
    <mergeCell ref="O12:P12"/>
    <mergeCell ref="Q11:R11"/>
    <mergeCell ref="Q12:R12"/>
    <mergeCell ref="A76:C76"/>
    <mergeCell ref="A78:C78"/>
    <mergeCell ref="A79:C79"/>
    <mergeCell ref="G11:H11"/>
    <mergeCell ref="G12:H12"/>
    <mergeCell ref="G14:H14"/>
    <mergeCell ref="G19:H19"/>
    <mergeCell ref="G22:H22"/>
    <mergeCell ref="G27:H27"/>
    <mergeCell ref="G30:H30"/>
    <mergeCell ref="G35:H35"/>
    <mergeCell ref="G38:H38"/>
    <mergeCell ref="G43:H43"/>
    <mergeCell ref="G46:H46"/>
    <mergeCell ref="G51:H51"/>
    <mergeCell ref="G54:H54"/>
    <mergeCell ref="A67:C67"/>
    <mergeCell ref="A68:C68"/>
    <mergeCell ref="A70:C70"/>
    <mergeCell ref="A71:C71"/>
    <mergeCell ref="A7:B7"/>
    <mergeCell ref="A11:C11"/>
    <mergeCell ref="A12:C12"/>
    <mergeCell ref="A14:C14"/>
    <mergeCell ref="A35:C35"/>
    <mergeCell ref="A27:C27"/>
    <mergeCell ref="A28:C28"/>
    <mergeCell ref="A30:C30"/>
    <mergeCell ref="A31:C31"/>
    <mergeCell ref="A15:C15"/>
    <mergeCell ref="A19:C19"/>
    <mergeCell ref="A20:C20"/>
    <mergeCell ref="A22:C22"/>
    <mergeCell ref="A23:C23"/>
    <mergeCell ref="O91:P91"/>
    <mergeCell ref="Q91:R91"/>
    <mergeCell ref="A92:C92"/>
    <mergeCell ref="G92:H92"/>
    <mergeCell ref="K92:L92"/>
    <mergeCell ref="O92:P92"/>
    <mergeCell ref="Q92:R92"/>
    <mergeCell ref="A36:C36"/>
    <mergeCell ref="A38:C38"/>
    <mergeCell ref="A39:C39"/>
    <mergeCell ref="A43:C43"/>
    <mergeCell ref="A44:C44"/>
    <mergeCell ref="A55:C55"/>
    <mergeCell ref="A59:C59"/>
    <mergeCell ref="A60:C60"/>
    <mergeCell ref="A62:C62"/>
    <mergeCell ref="A63:C63"/>
    <mergeCell ref="A46:C46"/>
    <mergeCell ref="A47:C47"/>
    <mergeCell ref="A51:C51"/>
    <mergeCell ref="A52:C52"/>
    <mergeCell ref="A54:C54"/>
    <mergeCell ref="O43:P43"/>
    <mergeCell ref="Q43:R43"/>
    <mergeCell ref="A93:C93"/>
    <mergeCell ref="G93:H93"/>
    <mergeCell ref="K93:L93"/>
    <mergeCell ref="A94:C94"/>
    <mergeCell ref="G94:H94"/>
    <mergeCell ref="K94:L94"/>
    <mergeCell ref="A95:C95"/>
    <mergeCell ref="A91:C91"/>
    <mergeCell ref="G91:H91"/>
    <mergeCell ref="K91:L9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DFD7-81C2-43F6-BA86-F7AEC3EE410E}">
  <dimension ref="A1:L26"/>
  <sheetViews>
    <sheetView workbookViewId="0">
      <selection activeCell="F15" sqref="F15"/>
    </sheetView>
  </sheetViews>
  <sheetFormatPr defaultRowHeight="15" x14ac:dyDescent="0.25"/>
  <cols>
    <col min="2" max="2" width="59.7109375" bestFit="1" customWidth="1"/>
    <col min="3" max="3" width="24.28515625" customWidth="1"/>
    <col min="4" max="4" width="53.28515625" bestFit="1" customWidth="1"/>
    <col min="5" max="5" width="19.42578125" bestFit="1" customWidth="1"/>
    <col min="6" max="6" width="11.5703125" bestFit="1" customWidth="1"/>
    <col min="7" max="7" width="9.28515625" bestFit="1" customWidth="1"/>
    <col min="8" max="8" width="9.28515625" customWidth="1"/>
    <col min="9" max="9" width="9.140625" bestFit="1" customWidth="1"/>
    <col min="12" max="12" width="11.5703125" bestFit="1" customWidth="1"/>
  </cols>
  <sheetData>
    <row r="1" spans="1:12" x14ac:dyDescent="0.25">
      <c r="A1" s="10" t="s">
        <v>32</v>
      </c>
    </row>
    <row r="2" spans="1:12" s="1" customFormat="1" x14ac:dyDescent="0.25">
      <c r="A2" s="1" t="s">
        <v>15</v>
      </c>
      <c r="B2" s="1" t="s">
        <v>16</v>
      </c>
      <c r="C2" s="1" t="s">
        <v>37</v>
      </c>
      <c r="D2" s="1" t="s">
        <v>17</v>
      </c>
      <c r="E2" s="1" t="s">
        <v>73</v>
      </c>
      <c r="F2" s="11" t="s">
        <v>66</v>
      </c>
      <c r="G2" s="11" t="s">
        <v>65</v>
      </c>
      <c r="H2" s="11" t="s">
        <v>94</v>
      </c>
      <c r="I2" s="11" t="s">
        <v>64</v>
      </c>
      <c r="J2" s="11" t="s">
        <v>61</v>
      </c>
      <c r="L2" s="1" t="s">
        <v>51</v>
      </c>
    </row>
    <row r="3" spans="1:12" x14ac:dyDescent="0.25">
      <c r="A3">
        <v>11.4</v>
      </c>
      <c r="B3" t="s">
        <v>11</v>
      </c>
      <c r="C3" t="s">
        <v>38</v>
      </c>
      <c r="D3" t="s">
        <v>18</v>
      </c>
      <c r="E3" t="s">
        <v>74</v>
      </c>
      <c r="F3" s="9">
        <v>0.30099999999999999</v>
      </c>
      <c r="G3" s="9">
        <v>0.23699999999999999</v>
      </c>
      <c r="H3" s="9">
        <v>0.27800000000000002</v>
      </c>
      <c r="I3" s="9">
        <v>2.7E-2</v>
      </c>
      <c r="J3" s="9">
        <v>0.157</v>
      </c>
      <c r="L3" t="s">
        <v>52</v>
      </c>
    </row>
    <row r="4" spans="1:12" x14ac:dyDescent="0.25">
      <c r="A4">
        <v>8.6</v>
      </c>
      <c r="B4" t="s">
        <v>11</v>
      </c>
      <c r="C4" t="s">
        <v>38</v>
      </c>
      <c r="D4" t="s">
        <v>19</v>
      </c>
      <c r="E4" t="s">
        <v>75</v>
      </c>
      <c r="F4" s="9">
        <v>0.27400000000000002</v>
      </c>
      <c r="G4" s="9">
        <v>0.32100000000000001</v>
      </c>
      <c r="H4" s="9">
        <v>0.248</v>
      </c>
      <c r="I4" s="9">
        <v>3.6999999999999998E-2</v>
      </c>
      <c r="J4" s="9">
        <v>0.12</v>
      </c>
      <c r="L4" t="s">
        <v>53</v>
      </c>
    </row>
    <row r="5" spans="1:12" x14ac:dyDescent="0.25">
      <c r="A5">
        <v>17</v>
      </c>
      <c r="B5" t="s">
        <v>20</v>
      </c>
      <c r="C5" t="s">
        <v>39</v>
      </c>
      <c r="D5" t="s">
        <v>21</v>
      </c>
      <c r="E5" t="s">
        <v>79</v>
      </c>
      <c r="F5" s="9">
        <v>0.108</v>
      </c>
      <c r="G5" s="9">
        <v>0.377</v>
      </c>
      <c r="H5" s="9">
        <v>0.47099999999999997</v>
      </c>
      <c r="I5" s="9">
        <v>2.8000000000000001E-2</v>
      </c>
      <c r="J5" s="9">
        <v>1.6E-2</v>
      </c>
    </row>
    <row r="6" spans="1:12" x14ac:dyDescent="0.25">
      <c r="A6">
        <v>1</v>
      </c>
      <c r="B6" t="s">
        <v>24</v>
      </c>
      <c r="C6" t="s">
        <v>40</v>
      </c>
      <c r="D6" t="s">
        <v>22</v>
      </c>
      <c r="E6" t="s">
        <v>79</v>
      </c>
      <c r="F6" s="9">
        <v>0.108</v>
      </c>
      <c r="G6" s="9">
        <v>0.377</v>
      </c>
      <c r="H6" s="9">
        <v>0.47099999999999997</v>
      </c>
      <c r="I6" s="9">
        <v>2.8000000000000001E-2</v>
      </c>
      <c r="J6" s="9">
        <v>1.6E-2</v>
      </c>
    </row>
    <row r="7" spans="1:12" x14ac:dyDescent="0.25">
      <c r="A7">
        <v>2</v>
      </c>
      <c r="B7" t="s">
        <v>25</v>
      </c>
      <c r="C7" t="s">
        <v>41</v>
      </c>
      <c r="D7" t="s">
        <v>23</v>
      </c>
      <c r="E7" t="s">
        <v>80</v>
      </c>
      <c r="F7" s="9">
        <v>0.14599999999999999</v>
      </c>
      <c r="G7" s="9">
        <v>0.41</v>
      </c>
      <c r="H7" s="9">
        <v>0.27700000000000002</v>
      </c>
      <c r="I7" s="9">
        <v>6.2E-2</v>
      </c>
      <c r="J7" s="9">
        <v>0.105</v>
      </c>
    </row>
    <row r="8" spans="1:12" x14ac:dyDescent="0.25">
      <c r="A8">
        <v>0.5</v>
      </c>
      <c r="B8" t="s">
        <v>26</v>
      </c>
      <c r="C8" t="s">
        <v>42</v>
      </c>
      <c r="D8" t="s">
        <v>27</v>
      </c>
      <c r="E8" t="s">
        <v>81</v>
      </c>
      <c r="F8" s="9">
        <v>0.182</v>
      </c>
      <c r="G8" s="9">
        <v>0.432</v>
      </c>
      <c r="H8" s="9">
        <v>0.3</v>
      </c>
      <c r="I8" s="9">
        <v>5.3999999999999999E-2</v>
      </c>
      <c r="J8" s="9">
        <v>3.2000000000000001E-2</v>
      </c>
    </row>
    <row r="9" spans="1:12" x14ac:dyDescent="0.25">
      <c r="A9">
        <v>5</v>
      </c>
      <c r="B9" t="s">
        <v>28</v>
      </c>
      <c r="C9" t="s">
        <v>43</v>
      </c>
      <c r="D9" t="s">
        <v>29</v>
      </c>
      <c r="E9" t="s">
        <v>82</v>
      </c>
      <c r="F9" s="9">
        <v>0.37</v>
      </c>
      <c r="G9" s="9">
        <v>0.33600000000000002</v>
      </c>
      <c r="H9" s="9">
        <v>0.20300000000000001</v>
      </c>
      <c r="I9" s="9">
        <v>3.7999999999999999E-2</v>
      </c>
      <c r="J9" s="9">
        <v>5.2999999999999999E-2</v>
      </c>
    </row>
    <row r="10" spans="1:12" x14ac:dyDescent="0.25">
      <c r="A10">
        <v>8.93</v>
      </c>
      <c r="B10" t="s">
        <v>20</v>
      </c>
      <c r="C10" t="s">
        <v>39</v>
      </c>
      <c r="D10" t="s">
        <v>138</v>
      </c>
      <c r="E10" t="s">
        <v>89</v>
      </c>
      <c r="F10" s="9">
        <v>7.4999999999999997E-2</v>
      </c>
      <c r="G10" s="9">
        <v>0.76800000000000002</v>
      </c>
      <c r="H10" s="9">
        <v>2.1000000000000001E-2</v>
      </c>
      <c r="I10" s="9">
        <v>8.9999999999999993E-3</v>
      </c>
      <c r="J10" s="9">
        <v>0.127</v>
      </c>
    </row>
    <row r="11" spans="1:12" x14ac:dyDescent="0.25">
      <c r="A11">
        <v>3</v>
      </c>
      <c r="B11" t="s">
        <v>20</v>
      </c>
      <c r="C11" t="s">
        <v>39</v>
      </c>
      <c r="D11" t="s">
        <v>139</v>
      </c>
      <c r="E11" t="s">
        <v>131</v>
      </c>
      <c r="F11" s="9">
        <v>7.4999999999999997E-2</v>
      </c>
      <c r="G11" s="9">
        <v>0.76800000000000002</v>
      </c>
      <c r="H11" s="9">
        <v>2.1000000000000001E-2</v>
      </c>
      <c r="I11" s="9">
        <v>8.9999999999999993E-3</v>
      </c>
      <c r="J11" s="9">
        <v>0.127</v>
      </c>
    </row>
    <row r="12" spans="1:12" x14ac:dyDescent="0.25">
      <c r="A12">
        <v>1</v>
      </c>
      <c r="B12" t="s">
        <v>49</v>
      </c>
      <c r="C12" t="s">
        <v>44</v>
      </c>
      <c r="D12" t="s">
        <v>133</v>
      </c>
      <c r="E12" t="s">
        <v>134</v>
      </c>
      <c r="F12" s="9">
        <v>0.218</v>
      </c>
      <c r="G12" s="9">
        <v>0.30099999999999999</v>
      </c>
      <c r="H12" s="9">
        <v>0.249</v>
      </c>
      <c r="I12" s="9">
        <v>8.7999999999999995E-2</v>
      </c>
      <c r="J12" s="9">
        <v>0.14399999999999999</v>
      </c>
    </row>
    <row r="13" spans="1:12" x14ac:dyDescent="0.25">
      <c r="A13">
        <v>3.1199999999999999E-2</v>
      </c>
      <c r="B13" t="s">
        <v>49</v>
      </c>
      <c r="C13" t="s">
        <v>44</v>
      </c>
      <c r="D13" t="s">
        <v>30</v>
      </c>
      <c r="E13" t="s">
        <v>83</v>
      </c>
      <c r="F13" s="9">
        <v>4.2999999999999997E-2</v>
      </c>
      <c r="G13" s="9">
        <v>0.60099999999999998</v>
      </c>
      <c r="H13" s="9">
        <v>0.30499999999999999</v>
      </c>
      <c r="I13" s="9">
        <v>8.0000000000000002E-3</v>
      </c>
      <c r="J13" s="9">
        <v>4.2999999999999997E-2</v>
      </c>
    </row>
    <row r="14" spans="1:12" x14ac:dyDescent="0.25">
      <c r="A14">
        <v>2.5000000000000001E-2</v>
      </c>
      <c r="B14" t="s">
        <v>50</v>
      </c>
      <c r="C14" t="s">
        <v>44</v>
      </c>
      <c r="D14" t="s">
        <v>31</v>
      </c>
      <c r="E14" t="s">
        <v>97</v>
      </c>
      <c r="F14" s="9">
        <v>0.23100000000000001</v>
      </c>
      <c r="G14" s="9">
        <v>0.41499999999999998</v>
      </c>
      <c r="H14" s="9">
        <v>0.161</v>
      </c>
      <c r="I14" s="9">
        <v>2.5000000000000001E-2</v>
      </c>
      <c r="J14" s="9">
        <v>0.16800000000000001</v>
      </c>
    </row>
    <row r="15" spans="1:12" x14ac:dyDescent="0.25">
      <c r="A15">
        <v>10.53</v>
      </c>
      <c r="B15" t="s">
        <v>20</v>
      </c>
      <c r="C15" t="s">
        <v>39</v>
      </c>
      <c r="D15" t="s">
        <v>55</v>
      </c>
      <c r="E15" t="s">
        <v>76</v>
      </c>
      <c r="F15" s="9">
        <v>0.104</v>
      </c>
      <c r="G15" s="9">
        <v>0.28499999999999998</v>
      </c>
      <c r="H15" s="9">
        <v>0.23400000000000001</v>
      </c>
      <c r="I15" s="9">
        <v>0.28799999999999998</v>
      </c>
      <c r="J15" s="9">
        <v>8.8999999999999996E-2</v>
      </c>
    </row>
    <row r="17" spans="1:3" x14ac:dyDescent="0.25">
      <c r="A17" s="10" t="s">
        <v>33</v>
      </c>
    </row>
    <row r="18" spans="1:3" x14ac:dyDescent="0.25">
      <c r="A18" s="1" t="s">
        <v>34</v>
      </c>
      <c r="B18" s="1" t="s">
        <v>16</v>
      </c>
      <c r="C18" s="1"/>
    </row>
    <row r="19" spans="1:3" x14ac:dyDescent="0.25">
      <c r="A19">
        <v>7</v>
      </c>
      <c r="B19" t="s">
        <v>12</v>
      </c>
    </row>
    <row r="20" spans="1:3" x14ac:dyDescent="0.25">
      <c r="A20">
        <v>138</v>
      </c>
      <c r="B20" t="s">
        <v>13</v>
      </c>
    </row>
    <row r="21" spans="1:3" x14ac:dyDescent="0.25">
      <c r="A21">
        <v>262</v>
      </c>
      <c r="B21" t="s">
        <v>104</v>
      </c>
    </row>
    <row r="22" spans="1:3" x14ac:dyDescent="0.25">
      <c r="A22">
        <v>250</v>
      </c>
      <c r="B22" t="s">
        <v>101</v>
      </c>
    </row>
    <row r="23" spans="1:3" x14ac:dyDescent="0.25">
      <c r="A23">
        <v>396</v>
      </c>
      <c r="B23" t="s">
        <v>100</v>
      </c>
    </row>
    <row r="24" spans="1:3" x14ac:dyDescent="0.25">
      <c r="A24">
        <v>3</v>
      </c>
      <c r="B24" t="s">
        <v>14</v>
      </c>
    </row>
    <row r="25" spans="1:3" x14ac:dyDescent="0.25">
      <c r="A25">
        <v>201.97399999999999</v>
      </c>
      <c r="B25" t="s">
        <v>128</v>
      </c>
    </row>
    <row r="26" spans="1:3" x14ac:dyDescent="0.25">
      <c r="A26">
        <v>173.57</v>
      </c>
      <c r="B26" t="s">
        <v>129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Instructions</vt:lpstr>
      <vt:lpstr>Calculation Sheet</vt:lpstr>
      <vt:lpstr>WGE</vt:lpstr>
      <vt:lpstr>CalculationData</vt:lpstr>
      <vt:lpstr>Calc_Cat</vt:lpstr>
      <vt:lpstr>Calc_Unit</vt:lpstr>
      <vt:lpstr>CompactRatio</vt:lpstr>
      <vt:lpstr>FW_density</vt:lpstr>
      <vt:lpstr>GalDry</vt:lpstr>
      <vt:lpstr>GalWet</vt:lpstr>
      <vt:lpstr>Org_density</vt:lpstr>
      <vt:lpstr>R_density</vt:lpstr>
      <vt:lpstr>SW_density</vt:lpstr>
      <vt:lpstr>Unit</vt:lpstr>
      <vt:lpstr>Week</vt:lpstr>
      <vt:lpstr>WG_category</vt:lpstr>
      <vt:lpstr>WG_Rates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Ha</dc:creator>
  <cp:lastModifiedBy>Alan Ha</cp:lastModifiedBy>
  <dcterms:created xsi:type="dcterms:W3CDTF">2022-02-14T19:57:27Z</dcterms:created>
  <dcterms:modified xsi:type="dcterms:W3CDTF">2025-08-12T18:59:52Z</dcterms:modified>
</cp:coreProperties>
</file>