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S:\BUILDING INSP\SOP -  Standard Operating Procedures\Plan Check\Electrical\"/>
    </mc:Choice>
  </mc:AlternateContent>
  <xr:revisionPtr revIDLastSave="0" documentId="13_ncr:1_{C555ED9E-114F-4ABF-A97A-91A58270F83C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Electric Appliance Checklist" sheetId="4" r:id="rId1"/>
    <sheet name="Background Calculation" sheetId="1" state="hidden" r:id="rId2"/>
  </sheets>
  <definedNames>
    <definedName name="_xlnm.Print_Area" localSheetId="1">'Background Calculation'!$A$1:$J$35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9" i="1" l="1"/>
  <c r="S37" i="1"/>
  <c r="W20" i="1" s="1"/>
  <c r="S38" i="1"/>
  <c r="S36" i="1"/>
  <c r="I21" i="1" s="1"/>
  <c r="S34" i="1"/>
  <c r="S25" i="1"/>
  <c r="I12" i="1" s="1"/>
  <c r="S23" i="1"/>
  <c r="I14" i="1" s="1"/>
  <c r="S22" i="1"/>
  <c r="I13" i="1" s="1"/>
  <c r="S19" i="1"/>
  <c r="I11" i="1" s="1"/>
  <c r="S15" i="1"/>
  <c r="S16" i="1"/>
  <c r="S14" i="1"/>
  <c r="S9" i="1"/>
  <c r="S7" i="1"/>
  <c r="S6" i="1"/>
  <c r="W15" i="1"/>
  <c r="W22" i="1" s="1"/>
  <c r="I15" i="1" l="1"/>
  <c r="W21" i="1"/>
  <c r="W18" i="1" l="1"/>
  <c r="C7" i="4" l="1"/>
  <c r="Z17" i="1" l="1"/>
  <c r="B40" i="4" s="1"/>
  <c r="E6" i="1"/>
  <c r="Q6" i="1" s="1"/>
  <c r="P36" i="1"/>
  <c r="I28" i="1" l="1"/>
  <c r="N34" i="1"/>
  <c r="N33" i="1"/>
  <c r="N25" i="1"/>
  <c r="N30" i="1"/>
  <c r="N28" i="1"/>
  <c r="N27" i="1"/>
  <c r="N26" i="1"/>
  <c r="N23" i="1"/>
  <c r="I10" i="1"/>
  <c r="I9" i="1"/>
  <c r="I8" i="1"/>
  <c r="N6" i="1"/>
  <c r="I27" i="1" s="1"/>
  <c r="I6" i="1"/>
  <c r="I22" i="1" l="1"/>
  <c r="G24" i="1" l="1"/>
  <c r="I24" i="1" s="1"/>
  <c r="I25" i="1" s="1"/>
  <c r="I29" i="1" s="1"/>
  <c r="I31" i="1" s="1"/>
  <c r="I32" i="1" s="1"/>
  <c r="I33" i="1" s="1" a="1"/>
  <c r="I33" i="1" s="1"/>
  <c r="C38" i="4" s="1"/>
  <c r="C39" i="4" s="1"/>
  <c r="I35" i="1" l="1"/>
  <c r="J35" i="1" s="1"/>
  <c r="I34" i="1"/>
  <c r="J3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P6" authorId="0" shapeId="0" xr:uid="{00000000-0006-0000-0000-000001000000}">
      <text>
        <r>
          <rPr>
            <sz val="11"/>
            <color theme="1"/>
            <rFont val="Calibri"/>
            <family val="2"/>
            <scheme val="minor"/>
          </rPr>
          <t>1 ton = 12k BTU
2-4 rooms - 3 tons typ.
1.5 tons minimum</t>
        </r>
      </text>
    </comment>
    <comment ref="N22" authorId="0" shapeId="0" xr:uid="{00000000-0006-0000-0000-000002000000}">
      <text>
        <r>
          <rPr>
            <sz val="11"/>
            <color theme="1"/>
            <rFont val="Calibri"/>
            <family val="2"/>
            <scheme val="minor"/>
          </rPr>
          <t>45A*240V = 10800</t>
        </r>
      </text>
    </comment>
    <comment ref="B23" authorId="0" shapeId="0" xr:uid="{00000000-0006-0000-0000-000008000000}">
      <text>
        <r>
          <rPr>
            <sz val="11"/>
            <color theme="1"/>
            <rFont val="Calibri"/>
            <family val="2"/>
            <scheme val="minor"/>
          </rPr>
          <t>CEC 220.80(B)</t>
        </r>
      </text>
    </comment>
    <comment ref="N23" authorId="0" shapeId="0" xr:uid="{00000000-0006-0000-0000-000003000000}">
      <text>
        <r>
          <rPr>
            <sz val="11"/>
            <color theme="1"/>
            <rFont val="Calibri"/>
            <family val="2"/>
            <scheme val="minor"/>
          </rPr>
          <t>20A * 240V = 4800</t>
        </r>
      </text>
    </comment>
    <comment ref="N25" authorId="0" shapeId="0" xr:uid="{00000000-0006-0000-0000-000004000000}">
      <text>
        <r>
          <rPr>
            <sz val="11"/>
            <color theme="1"/>
            <rFont val="Calibri"/>
            <family val="2"/>
            <scheme val="minor"/>
          </rPr>
          <t xml:space="preserve">50A x 240V = 12,000VA
</t>
        </r>
      </text>
    </comment>
    <comment ref="N26" authorId="0" shapeId="0" xr:uid="{00000000-0006-0000-0000-000005000000}">
      <text>
        <r>
          <rPr>
            <sz val="11"/>
            <color theme="1"/>
            <rFont val="Calibri"/>
            <family val="2"/>
            <scheme val="minor"/>
          </rPr>
          <t>15Ax120V = 1800 max</t>
        </r>
      </text>
    </comment>
    <comment ref="N27" authorId="0" shapeId="0" xr:uid="{00000000-0006-0000-0000-000006000000}">
      <text>
        <r>
          <rPr>
            <sz val="11"/>
            <color theme="1"/>
            <rFont val="Calibri"/>
            <family val="2"/>
            <scheme val="minor"/>
          </rPr>
          <t>15A*120V = 1800W</t>
        </r>
      </text>
    </comment>
    <comment ref="B28" authorId="0" shapeId="0" xr:uid="{00000000-0006-0000-0000-00000B000000}">
      <text>
        <r>
          <rPr>
            <sz val="11"/>
            <color theme="1"/>
            <rFont val="Calibri"/>
            <family val="2"/>
            <scheme val="minor"/>
          </rPr>
          <t xml:space="preserve">CEC 220.80(C)(3)
100% of heat pump + 65% of supplemental heating
</t>
        </r>
      </text>
    </comment>
    <comment ref="N28" authorId="0" shapeId="0" xr:uid="{00000000-0006-0000-0000-000007000000}">
      <text>
        <r>
          <rPr>
            <sz val="11"/>
            <color theme="1"/>
            <rFont val="Calibri"/>
            <family val="2"/>
            <scheme val="minor"/>
          </rPr>
          <t>6A * 120V = 720W</t>
        </r>
      </text>
    </comment>
    <comment ref="N29" authorId="0" shapeId="0" xr:uid="{00000000-0006-0000-0000-000009000000}">
      <text>
        <r>
          <rPr>
            <sz val="11"/>
            <color theme="1"/>
            <rFont val="Calibri"/>
            <family val="2"/>
            <scheme val="minor"/>
          </rPr>
          <t>10A*120V=1200W</t>
        </r>
      </text>
    </comment>
    <comment ref="N30" authorId="0" shapeId="0" xr:uid="{00000000-0006-0000-0000-00000A000000}">
      <text>
        <r>
          <rPr>
            <sz val="11"/>
            <color theme="1"/>
            <rFont val="Calibri"/>
            <family val="2"/>
            <scheme val="minor"/>
          </rPr>
          <t>15A*120V = 1800W</t>
        </r>
      </text>
    </comment>
  </commentList>
</comments>
</file>

<file path=xl/sharedStrings.xml><?xml version="1.0" encoding="utf-8"?>
<sst xmlns="http://schemas.openxmlformats.org/spreadsheetml/2006/main" count="155" uniqueCount="125">
  <si>
    <t>LOAD CALCULATIONS - ALTERNATIVE METHOD PER CEC 220.82</t>
  </si>
  <si>
    <t>VA (Watts)</t>
  </si>
  <si>
    <t>Example Appliances:</t>
  </si>
  <si>
    <t>General Lighting &amp; Receptacle Loads</t>
  </si>
  <si>
    <t>CEC 220.82(B)</t>
  </si>
  <si>
    <t>Appliance</t>
  </si>
  <si>
    <t>HVAC</t>
  </si>
  <si>
    <t>General Lighting</t>
  </si>
  <si>
    <t>sq.ft. x</t>
  </si>
  <si>
    <t>VA =</t>
  </si>
  <si>
    <t>/ton</t>
  </si>
  <si>
    <t>tons</t>
  </si>
  <si>
    <t>Small Appliance &amp; Laundry Loads</t>
  </si>
  <si>
    <t>Central Furnace</t>
  </si>
  <si>
    <t>2 small appliance circuits</t>
  </si>
  <si>
    <t>x</t>
  </si>
  <si>
    <t>VA=</t>
  </si>
  <si>
    <t>Air Handler</t>
  </si>
  <si>
    <t xml:space="preserve">Additional small appliance </t>
  </si>
  <si>
    <t>Water Heater</t>
  </si>
  <si>
    <t>Min. 1 laundry circuit</t>
  </si>
  <si>
    <t>Laundry</t>
  </si>
  <si>
    <t xml:space="preserve">Dryer  </t>
  </si>
  <si>
    <t>Electric Clothes Dryer</t>
  </si>
  <si>
    <t>Range</t>
  </si>
  <si>
    <t>Cooktop</t>
  </si>
  <si>
    <t>Kitchen</t>
  </si>
  <si>
    <t>Oven</t>
  </si>
  <si>
    <t>Dishwasher</t>
  </si>
  <si>
    <t>Disposal</t>
  </si>
  <si>
    <t>Microwave</t>
  </si>
  <si>
    <t>Built-in Microwave</t>
  </si>
  <si>
    <t>EV Charger</t>
  </si>
  <si>
    <t>Refridgerator</t>
  </si>
  <si>
    <t>Subtotal</t>
  </si>
  <si>
    <t>First 10000 VA @ 100%</t>
  </si>
  <si>
    <t xml:space="preserve">Balance @ 40% </t>
  </si>
  <si>
    <t xml:space="preserve">Balance=(Row 5- Row 6)= </t>
  </si>
  <si>
    <t>x0.4=</t>
  </si>
  <si>
    <t>Trash Compactor</t>
  </si>
  <si>
    <t>Special Appliance Loads</t>
  </si>
  <si>
    <t>AC/Heating @ 100%</t>
  </si>
  <si>
    <t xml:space="preserve">CEC </t>
  </si>
  <si>
    <t>Feeder/Service Conductor Sizing (CEC Table 310.12)</t>
  </si>
  <si>
    <t>Grounding Electrode              (CEC Table 250.66)</t>
  </si>
  <si>
    <t>Heat pump + Supplemental Electrical Heating</t>
  </si>
  <si>
    <t>x0.65</t>
  </si>
  <si>
    <t>Service/Feeder Rating</t>
  </si>
  <si>
    <t>Conductor Size (AWG or kcmil)</t>
  </si>
  <si>
    <t>Total</t>
  </si>
  <si>
    <t>Copper</t>
  </si>
  <si>
    <t>Alu or Cu-Clad Alu</t>
  </si>
  <si>
    <t xml:space="preserve">TOTAL LOAD= </t>
  </si>
  <si>
    <t>VA</t>
  </si>
  <si>
    <t>Service AMPS = TOTAL LOAD/ 240 V</t>
  </si>
  <si>
    <t>Amps</t>
  </si>
  <si>
    <t>1/0</t>
  </si>
  <si>
    <r>
      <rPr>
        <sz val="11"/>
        <color theme="1"/>
        <rFont val="Calibri"/>
      </rPr>
      <t>Minimum Panel Size (75</t>
    </r>
    <r>
      <rPr>
        <sz val="11"/>
        <color theme="1"/>
        <rFont val="Calibri"/>
      </rPr>
      <t>°C terminals)</t>
    </r>
  </si>
  <si>
    <t>2/0</t>
  </si>
  <si>
    <t>Feeder Conductor Size</t>
  </si>
  <si>
    <t>3/0</t>
  </si>
  <si>
    <t>Grounding Size</t>
  </si>
  <si>
    <t>4/0</t>
  </si>
  <si>
    <t>Water heaters</t>
  </si>
  <si>
    <t>Electric</t>
  </si>
  <si>
    <t>--Tankless</t>
  </si>
  <si>
    <t>--Tank (Heat Pump)</t>
  </si>
  <si>
    <t>Check Product Specifications</t>
  </si>
  <si>
    <t>Gas - Tank or Tankless</t>
  </si>
  <si>
    <t>Check Manufacturer Specifications for Accurate Power Usage</t>
  </si>
  <si>
    <t>Typical Load VA (Watt)</t>
  </si>
  <si>
    <t>Electric Cooktop</t>
  </si>
  <si>
    <t>Electric Single Oven</t>
  </si>
  <si>
    <t>Electric Double Oven</t>
  </si>
  <si>
    <t>Electric Range</t>
  </si>
  <si>
    <t>50 Amp</t>
  </si>
  <si>
    <t>40 Amp</t>
  </si>
  <si>
    <t>Central AC/Heat Pump</t>
  </si>
  <si>
    <t>Approximate Square Footage</t>
  </si>
  <si>
    <t>Sq Ft</t>
  </si>
  <si>
    <t>Is 100A enough?</t>
  </si>
  <si>
    <t>Others</t>
  </si>
  <si>
    <t>Pool Motor</t>
  </si>
  <si>
    <t>Washer</t>
  </si>
  <si>
    <t>Heat Pump Table</t>
  </si>
  <si>
    <t>Electric Range (Cooktop + Oven Combo)</t>
  </si>
  <si>
    <t>Electric Oven (Single)</t>
  </si>
  <si>
    <t>Minimum Upgrade:</t>
  </si>
  <si>
    <t>Disclaimer: This is an estimation based on typical single family homes. Load calculations per California Electrical Code may be provided to justify the existing electrical panel capacity.</t>
  </si>
  <si>
    <t>1. Enter the square footage of your house, excluding the garage.</t>
  </si>
  <si>
    <t>Heat Pump Water Heater</t>
  </si>
  <si>
    <t>Instructions:</t>
  </si>
  <si>
    <t>Tankless Electric Water Heater</t>
  </si>
  <si>
    <t>Electric Panel Size Check</t>
  </si>
  <si>
    <t>For Single Family Residence Only</t>
  </si>
  <si>
    <t>Other Electrical Equipment</t>
  </si>
  <si>
    <t>Site Address:</t>
  </si>
  <si>
    <t>Applicant Name:</t>
  </si>
  <si>
    <t>Date:</t>
  </si>
  <si>
    <t>Tank Electric Water Heater</t>
  </si>
  <si>
    <t>--Tank (Electric Resistance)</t>
  </si>
  <si>
    <t>Applicant Email or Phone Number:</t>
  </si>
  <si>
    <t>I acknowledge that the information provided is accurate and truthful to the best of my knowledge.</t>
  </si>
  <si>
    <t>Acknowledgement</t>
  </si>
  <si>
    <t>Error Message Table:</t>
  </si>
  <si>
    <t>Items selected are outside the scope of this check. Please submit electric load calculations for plan review.</t>
  </si>
  <si>
    <t>Please fill in the square footage of your residence excluding the garage.</t>
  </si>
  <si>
    <t>Please check the acknowlegement below.</t>
  </si>
  <si>
    <t xml:space="preserve"> </t>
  </si>
  <si>
    <t>Please fill in your name, contact info, and address.</t>
  </si>
  <si>
    <t>Tons</t>
  </si>
  <si>
    <t>Electric Heat Pump</t>
  </si>
  <si>
    <t>Appliances Proposed/Installed</t>
  </si>
  <si>
    <t>Gas Central Furnace</t>
  </si>
  <si>
    <t>Pool Pump</t>
  </si>
  <si>
    <t>Electrical Load Calculation Spreadsheet</t>
  </si>
  <si>
    <t>Electric Pool Heater</t>
  </si>
  <si>
    <t>Electric Wall Heater</t>
  </si>
  <si>
    <t>EV charger, electric tankless water heater, or electric heating equipment selected. Please submit electric load calculations for plan review.</t>
  </si>
  <si>
    <t>Pool Heater</t>
  </si>
  <si>
    <t>Type your name</t>
  </si>
  <si>
    <t>Qty Table</t>
  </si>
  <si>
    <t>Yes</t>
  </si>
  <si>
    <t>2. Enter Yes if the appliance is electric. Leave bank if it is not electric.</t>
  </si>
  <si>
    <t>Wall Heater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</si>
</sst>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_);_(* \(#,##0\);_(* &quot;-&quot;??_);_(@_)"/>
    <numFmt numFmtId="165" formatCode="#,##0.0_);\(#,##0.0\)"/>
  </numFmts>
  <fonts count="26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1"/>
      <color theme="1"/>
      <name val="Calibri"/>
    </font>
    <font>
      <sz val="11"/>
      <color theme="1"/>
      <name val="Calibri"/>
      <scheme val="minor"/>
    </font>
    <font>
      <b/>
      <sz val="11"/>
      <color theme="1"/>
      <name val="Calibri"/>
    </font>
    <font>
      <sz val="11"/>
      <color theme="1"/>
      <name val="Calibri"/>
    </font>
    <font>
      <sz val="11"/>
      <name val="Calibri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A8D08D"/>
        <bgColor rgb="FFA8D08D"/>
      </patternFill>
    </fill>
    <fill>
      <patternFill patternType="solid">
        <fgColor theme="9" tint="0.59999389629810485"/>
        <bgColor rgb="FF92D050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rgb="FF92D050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CCECFF"/>
        <bgColor indexed="64"/>
      </patternFill>
    </fill>
  </fills>
  <borders count="41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4" fillId="0" borderId="0" applyNumberFormat="0" applyFill="0" applyBorder="0" applyAlignment="0" applyProtection="0"/>
  </cellStyleXfs>
  <cellXfs count="155">
    <xf numFmtId="0" fontId="0" fillId="0" borderId="0" xfId="0" applyFont="1" applyAlignment="1"/>
    <xf numFmtId="3" fontId="15" fillId="0" borderId="0" xfId="0" applyNumberFormat="1" applyFont="1" applyProtection="1"/>
    <xf numFmtId="164" fontId="17" fillId="4" borderId="5" xfId="0" applyNumberFormat="1" applyFont="1" applyFill="1" applyBorder="1" applyAlignment="1" applyProtection="1">
      <alignment horizontal="right" vertical="center"/>
    </xf>
    <xf numFmtId="164" fontId="17" fillId="3" borderId="5" xfId="0" applyNumberFormat="1" applyFont="1" applyFill="1" applyBorder="1" applyProtection="1"/>
    <xf numFmtId="3" fontId="17" fillId="3" borderId="9" xfId="0" applyNumberFormat="1" applyFont="1" applyFill="1" applyBorder="1" applyProtection="1"/>
    <xf numFmtId="3" fontId="7" fillId="4" borderId="6" xfId="0" applyNumberFormat="1" applyFont="1" applyFill="1" applyBorder="1" applyProtection="1">
      <protection locked="0"/>
    </xf>
    <xf numFmtId="0" fontId="0" fillId="0" borderId="0" xfId="0" applyFont="1" applyAlignment="1" applyProtection="1"/>
    <xf numFmtId="0" fontId="0" fillId="0" borderId="0" xfId="0" applyFont="1" applyAlignment="1" applyProtection="1">
      <alignment horizontal="center" vertical="center"/>
    </xf>
    <xf numFmtId="0" fontId="0" fillId="0" borderId="0" xfId="0" applyFont="1" applyAlignment="1" applyProtection="1">
      <alignment horizontal="center"/>
    </xf>
    <xf numFmtId="0" fontId="14" fillId="0" borderId="0" xfId="0" applyFont="1" applyProtection="1"/>
    <xf numFmtId="0" fontId="15" fillId="0" borderId="0" xfId="0" applyFont="1" applyProtection="1"/>
    <xf numFmtId="0" fontId="13" fillId="0" borderId="0" xfId="0" applyFont="1" applyAlignment="1" applyProtection="1"/>
    <xf numFmtId="0" fontId="16" fillId="0" borderId="1" xfId="0" applyFont="1" applyBorder="1" applyProtection="1"/>
    <xf numFmtId="0" fontId="17" fillId="0" borderId="2" xfId="0" applyFont="1" applyBorder="1" applyProtection="1"/>
    <xf numFmtId="0" fontId="17" fillId="0" borderId="3" xfId="0" applyFont="1" applyBorder="1" applyProtection="1"/>
    <xf numFmtId="0" fontId="13" fillId="0" borderId="0" xfId="0" applyFont="1" applyProtection="1"/>
    <xf numFmtId="0" fontId="0" fillId="0" borderId="38" xfId="0" applyFont="1" applyBorder="1" applyAlignment="1" applyProtection="1">
      <alignment horizontal="center" vertical="center"/>
    </xf>
    <xf numFmtId="0" fontId="17" fillId="0" borderId="4" xfId="0" applyFont="1" applyBorder="1" applyProtection="1"/>
    <xf numFmtId="0" fontId="17" fillId="0" borderId="5" xfId="0" applyFont="1" applyBorder="1" applyProtection="1"/>
    <xf numFmtId="0" fontId="17" fillId="2" borderId="6" xfId="0" applyFont="1" applyFill="1" applyBorder="1" applyProtection="1"/>
    <xf numFmtId="0" fontId="5" fillId="0" borderId="38" xfId="0" applyFont="1" applyBorder="1" applyAlignment="1" applyProtection="1">
      <alignment horizontal="center" vertical="center"/>
    </xf>
    <xf numFmtId="0" fontId="5" fillId="0" borderId="32" xfId="0" applyFont="1" applyBorder="1" applyAlignment="1" applyProtection="1">
      <alignment horizontal="center" vertical="center"/>
    </xf>
    <xf numFmtId="0" fontId="17" fillId="0" borderId="7" xfId="0" applyFont="1" applyBorder="1" applyProtection="1"/>
    <xf numFmtId="0" fontId="17" fillId="0" borderId="8" xfId="0" applyFont="1" applyBorder="1" applyProtection="1"/>
    <xf numFmtId="0" fontId="19" fillId="0" borderId="8" xfId="0" applyFont="1" applyBorder="1" applyProtection="1"/>
    <xf numFmtId="164" fontId="17" fillId="0" borderId="10" xfId="0" applyNumberFormat="1" applyFont="1" applyBorder="1" applyAlignment="1" applyProtection="1">
      <alignment horizontal="right" vertical="center"/>
    </xf>
    <xf numFmtId="165" fontId="17" fillId="4" borderId="6" xfId="0" applyNumberFormat="1" applyFont="1" applyFill="1" applyBorder="1" applyAlignment="1" applyProtection="1">
      <alignment horizontal="right" vertical="center"/>
    </xf>
    <xf numFmtId="0" fontId="0" fillId="0" borderId="39" xfId="0" applyFont="1" applyBorder="1" applyAlignment="1" applyProtection="1">
      <alignment horizontal="center" vertical="center"/>
    </xf>
    <xf numFmtId="0" fontId="0" fillId="0" borderId="28" xfId="0" applyFont="1" applyBorder="1" applyAlignment="1" applyProtection="1">
      <alignment horizontal="center" vertical="center"/>
    </xf>
    <xf numFmtId="164" fontId="17" fillId="0" borderId="3" xfId="0" applyNumberFormat="1" applyFont="1" applyBorder="1" applyAlignment="1" applyProtection="1">
      <alignment horizontal="right" vertical="center"/>
    </xf>
    <xf numFmtId="0" fontId="17" fillId="3" borderId="11" xfId="0" applyFont="1" applyFill="1" applyBorder="1" applyProtection="1"/>
    <xf numFmtId="164" fontId="17" fillId="0" borderId="5" xfId="0" applyNumberFormat="1" applyFont="1" applyBorder="1" applyAlignment="1" applyProtection="1">
      <alignment horizontal="right" vertical="center"/>
    </xf>
    <xf numFmtId="0" fontId="2" fillId="0" borderId="0" xfId="0" quotePrefix="1" applyFont="1" applyProtection="1"/>
    <xf numFmtId="0" fontId="17" fillId="0" borderId="0" xfId="0" applyFont="1" applyProtection="1"/>
    <xf numFmtId="0" fontId="0" fillId="0" borderId="40" xfId="0" applyFont="1" applyBorder="1" applyAlignment="1" applyProtection="1">
      <alignment horizontal="center" vertical="center"/>
    </xf>
    <xf numFmtId="0" fontId="0" fillId="0" borderId="30" xfId="0" applyFont="1" applyBorder="1" applyAlignment="1" applyProtection="1">
      <alignment horizontal="center" vertical="center"/>
    </xf>
    <xf numFmtId="0" fontId="19" fillId="2" borderId="6" xfId="0" applyFont="1" applyFill="1" applyBorder="1" applyProtection="1"/>
    <xf numFmtId="0" fontId="13" fillId="0" borderId="0" xfId="0" quotePrefix="1" applyFont="1" applyAlignment="1" applyProtection="1"/>
    <xf numFmtId="0" fontId="6" fillId="0" borderId="0" xfId="0" applyFont="1" applyAlignment="1" applyProtection="1"/>
    <xf numFmtId="0" fontId="7" fillId="0" borderId="0" xfId="0" quotePrefix="1" applyFont="1" applyProtection="1"/>
    <xf numFmtId="0" fontId="13" fillId="0" borderId="0" xfId="0" quotePrefix="1" applyFont="1" applyProtection="1"/>
    <xf numFmtId="0" fontId="5" fillId="0" borderId="0" xfId="0" applyFont="1" applyAlignment="1" applyProtection="1"/>
    <xf numFmtId="0" fontId="12" fillId="0" borderId="0" xfId="0" applyFont="1" applyProtection="1"/>
    <xf numFmtId="0" fontId="12" fillId="0" borderId="0" xfId="0" applyFont="1" applyAlignment="1" applyProtection="1"/>
    <xf numFmtId="0" fontId="4" fillId="0" borderId="0" xfId="0" applyFont="1" applyAlignment="1" applyProtection="1"/>
    <xf numFmtId="164" fontId="16" fillId="0" borderId="0" xfId="0" applyNumberFormat="1" applyFont="1" applyProtection="1"/>
    <xf numFmtId="0" fontId="6" fillId="0" borderId="0" xfId="0" applyFont="1" applyProtection="1"/>
    <xf numFmtId="164" fontId="17" fillId="0" borderId="8" xfId="0" applyNumberFormat="1" applyFont="1" applyBorder="1" applyProtection="1"/>
    <xf numFmtId="0" fontId="19" fillId="0" borderId="6" xfId="0" applyFont="1" applyFill="1" applyBorder="1" applyAlignment="1" applyProtection="1"/>
    <xf numFmtId="164" fontId="17" fillId="0" borderId="0" xfId="0" applyNumberFormat="1" applyFont="1" applyProtection="1"/>
    <xf numFmtId="164" fontId="17" fillId="0" borderId="3" xfId="0" applyNumberFormat="1" applyFont="1" applyBorder="1" applyProtection="1"/>
    <xf numFmtId="164" fontId="16" fillId="0" borderId="4" xfId="0" applyNumberFormat="1" applyFont="1" applyBorder="1" applyProtection="1"/>
    <xf numFmtId="164" fontId="17" fillId="5" borderId="26" xfId="0" applyNumberFormat="1" applyFont="1" applyFill="1" applyBorder="1" applyProtection="1"/>
    <xf numFmtId="0" fontId="15" fillId="6" borderId="0" xfId="0" applyFont="1" applyFill="1" applyProtection="1"/>
    <xf numFmtId="3" fontId="0" fillId="0" borderId="0" xfId="0" applyNumberFormat="1" applyFont="1" applyAlignment="1" applyProtection="1"/>
    <xf numFmtId="0" fontId="17" fillId="0" borderId="0" xfId="0" applyFont="1" applyAlignment="1" applyProtection="1">
      <alignment horizontal="right"/>
    </xf>
    <xf numFmtId="9" fontId="0" fillId="0" borderId="0" xfId="0" applyNumberFormat="1" applyFont="1" applyAlignment="1" applyProtection="1"/>
    <xf numFmtId="0" fontId="9" fillId="0" borderId="0" xfId="0" applyFont="1" applyAlignment="1" applyProtection="1"/>
    <xf numFmtId="0" fontId="17" fillId="0" borderId="11" xfId="0" applyFont="1" applyBorder="1" applyAlignment="1" applyProtection="1">
      <alignment horizontal="center"/>
    </xf>
    <xf numFmtId="0" fontId="17" fillId="0" borderId="12" xfId="0" applyFont="1" applyBorder="1" applyAlignment="1" applyProtection="1">
      <alignment horizontal="center"/>
    </xf>
    <xf numFmtId="0" fontId="18" fillId="0" borderId="14" xfId="0" applyFont="1" applyBorder="1" applyProtection="1"/>
    <xf numFmtId="0" fontId="17" fillId="0" borderId="18" xfId="0" applyFont="1" applyBorder="1" applyAlignment="1" applyProtection="1">
      <alignment horizontal="center" vertical="center"/>
    </xf>
    <xf numFmtId="0" fontId="17" fillId="0" borderId="15" xfId="0" applyFont="1" applyBorder="1" applyAlignment="1" applyProtection="1">
      <alignment horizontal="center" vertical="center"/>
    </xf>
    <xf numFmtId="0" fontId="17" fillId="0" borderId="17" xfId="0" applyFont="1" applyBorder="1" applyAlignment="1" applyProtection="1">
      <alignment horizontal="center" vertical="center"/>
    </xf>
    <xf numFmtId="0" fontId="18" fillId="0" borderId="23" xfId="0" applyFont="1" applyBorder="1" applyProtection="1"/>
    <xf numFmtId="0" fontId="17" fillId="0" borderId="24" xfId="0" applyFont="1" applyBorder="1" applyAlignment="1" applyProtection="1">
      <alignment horizontal="center" vertical="center"/>
    </xf>
    <xf numFmtId="0" fontId="17" fillId="0" borderId="25" xfId="0" applyFont="1" applyBorder="1" applyAlignment="1" applyProtection="1">
      <alignment horizontal="center" vertical="center"/>
    </xf>
    <xf numFmtId="0" fontId="17" fillId="0" borderId="12" xfId="0" quotePrefix="1" applyFont="1" applyBorder="1" applyAlignment="1" applyProtection="1">
      <alignment horizontal="center"/>
    </xf>
    <xf numFmtId="0" fontId="18" fillId="0" borderId="22" xfId="0" applyFont="1" applyBorder="1" applyProtection="1"/>
    <xf numFmtId="0" fontId="17" fillId="0" borderId="19" xfId="0" applyFont="1" applyBorder="1" applyAlignment="1" applyProtection="1">
      <alignment horizontal="center" vertical="center"/>
    </xf>
    <xf numFmtId="0" fontId="17" fillId="0" borderId="21" xfId="0" applyFont="1" applyBorder="1" applyAlignment="1" applyProtection="1">
      <alignment horizontal="center" vertical="center"/>
    </xf>
    <xf numFmtId="17" fontId="17" fillId="0" borderId="11" xfId="0" quotePrefix="1" applyNumberFormat="1" applyFont="1" applyBorder="1" applyAlignment="1" applyProtection="1">
      <alignment horizontal="center"/>
    </xf>
    <xf numFmtId="0" fontId="17" fillId="0" borderId="11" xfId="0" quotePrefix="1" applyFont="1" applyBorder="1" applyAlignment="1" applyProtection="1">
      <alignment horizontal="center"/>
    </xf>
    <xf numFmtId="0" fontId="17" fillId="0" borderId="15" xfId="0" quotePrefix="1" applyFont="1" applyBorder="1" applyAlignment="1" applyProtection="1">
      <alignment horizontal="center" vertical="center"/>
    </xf>
    <xf numFmtId="0" fontId="17" fillId="0" borderId="17" xfId="0" quotePrefix="1" applyFont="1" applyBorder="1" applyAlignment="1" applyProtection="1">
      <alignment horizontal="center" vertical="center"/>
    </xf>
    <xf numFmtId="0" fontId="17" fillId="0" borderId="24" xfId="0" quotePrefix="1" applyFont="1" applyBorder="1" applyAlignment="1" applyProtection="1">
      <alignment horizontal="center" vertical="center"/>
    </xf>
    <xf numFmtId="0" fontId="17" fillId="0" borderId="25" xfId="0" quotePrefix="1" applyFont="1" applyBorder="1" applyAlignment="1" applyProtection="1">
      <alignment horizontal="center" vertical="center"/>
    </xf>
    <xf numFmtId="0" fontId="17" fillId="0" borderId="19" xfId="0" quotePrefix="1" applyFont="1" applyBorder="1" applyAlignment="1" applyProtection="1">
      <alignment horizontal="center" vertical="center"/>
    </xf>
    <xf numFmtId="0" fontId="17" fillId="0" borderId="21" xfId="0" quotePrefix="1" applyFont="1" applyBorder="1" applyAlignment="1" applyProtection="1">
      <alignment horizontal="center" vertical="center"/>
    </xf>
    <xf numFmtId="0" fontId="17" fillId="0" borderId="11" xfId="0" quotePrefix="1" applyFont="1" applyBorder="1" applyAlignment="1" applyProtection="1">
      <alignment horizontal="center" vertical="center"/>
    </xf>
    <xf numFmtId="0" fontId="17" fillId="0" borderId="12" xfId="0" quotePrefix="1" applyFont="1" applyBorder="1" applyAlignment="1" applyProtection="1">
      <alignment horizontal="center" vertical="center"/>
    </xf>
    <xf numFmtId="0" fontId="17" fillId="0" borderId="14" xfId="0" quotePrefix="1" applyFont="1" applyBorder="1" applyAlignment="1" applyProtection="1">
      <alignment horizontal="center" vertical="center"/>
    </xf>
    <xf numFmtId="0" fontId="21" fillId="0" borderId="0" xfId="0" applyFont="1" applyProtection="1"/>
    <xf numFmtId="0" fontId="0" fillId="0" borderId="0" xfId="0" applyProtection="1"/>
    <xf numFmtId="0" fontId="8" fillId="0" borderId="0" xfId="0" applyFont="1" applyProtection="1"/>
    <xf numFmtId="0" fontId="20" fillId="0" borderId="31" xfId="0" applyFont="1" applyBorder="1" applyProtection="1"/>
    <xf numFmtId="0" fontId="0" fillId="0" borderId="34" xfId="0" applyBorder="1" applyProtection="1"/>
    <xf numFmtId="0" fontId="0" fillId="0" borderId="32" xfId="0" applyBorder="1" applyProtection="1"/>
    <xf numFmtId="0" fontId="11" fillId="0" borderId="0" xfId="0" applyFont="1" applyAlignment="1" applyProtection="1"/>
    <xf numFmtId="0" fontId="0" fillId="0" borderId="36" xfId="0" applyBorder="1" applyProtection="1"/>
    <xf numFmtId="0" fontId="0" fillId="0" borderId="35" xfId="0" applyBorder="1" applyProtection="1"/>
    <xf numFmtId="0" fontId="0" fillId="0" borderId="37" xfId="0" applyBorder="1" applyProtection="1"/>
    <xf numFmtId="0" fontId="0" fillId="0" borderId="27" xfId="0" applyBorder="1" applyProtection="1"/>
    <xf numFmtId="0" fontId="0" fillId="0" borderId="28" xfId="0" applyBorder="1" applyProtection="1"/>
    <xf numFmtId="0" fontId="0" fillId="0" borderId="6" xfId="0" applyBorder="1" applyProtection="1"/>
    <xf numFmtId="0" fontId="20" fillId="0" borderId="27" xfId="0" applyFont="1" applyBorder="1" applyProtection="1"/>
    <xf numFmtId="0" fontId="19" fillId="2" borderId="27" xfId="0" applyFont="1" applyFill="1" applyBorder="1" applyProtection="1"/>
    <xf numFmtId="0" fontId="2" fillId="0" borderId="6" xfId="0" applyFont="1" applyBorder="1" applyAlignment="1" applyProtection="1">
      <alignment vertical="top" wrapText="1"/>
    </xf>
    <xf numFmtId="0" fontId="5" fillId="0" borderId="27" xfId="0" applyFont="1" applyBorder="1" applyProtection="1"/>
    <xf numFmtId="0" fontId="4" fillId="0" borderId="27" xfId="0" applyFont="1" applyBorder="1" applyProtection="1"/>
    <xf numFmtId="0" fontId="11" fillId="0" borderId="6" xfId="0" applyFont="1" applyBorder="1" applyAlignment="1" applyProtection="1">
      <alignment wrapText="1"/>
    </xf>
    <xf numFmtId="0" fontId="12" fillId="0" borderId="27" xfId="0" applyFont="1" applyBorder="1" applyProtection="1"/>
    <xf numFmtId="0" fontId="0" fillId="0" borderId="6" xfId="0" applyBorder="1" applyAlignment="1" applyProtection="1">
      <alignment horizontal="center" vertical="center"/>
    </xf>
    <xf numFmtId="0" fontId="0" fillId="0" borderId="28" xfId="0" applyBorder="1" applyAlignment="1" applyProtection="1">
      <alignment horizontal="center" vertical="center"/>
    </xf>
    <xf numFmtId="0" fontId="11" fillId="0" borderId="27" xfId="0" quotePrefix="1" applyFont="1" applyBorder="1" applyProtection="1"/>
    <xf numFmtId="0" fontId="11" fillId="0" borderId="27" xfId="0" applyFont="1" applyBorder="1" applyAlignment="1" applyProtection="1"/>
    <xf numFmtId="0" fontId="0" fillId="0" borderId="6" xfId="0" applyFont="1" applyBorder="1" applyAlignment="1" applyProtection="1"/>
    <xf numFmtId="0" fontId="10" fillId="0" borderId="27" xfId="0" quotePrefix="1" applyFont="1" applyBorder="1" applyProtection="1"/>
    <xf numFmtId="0" fontId="0" fillId="0" borderId="27" xfId="0" applyFont="1" applyBorder="1" applyAlignment="1" applyProtection="1"/>
    <xf numFmtId="0" fontId="7" fillId="0" borderId="27" xfId="0" quotePrefix="1" applyFont="1" applyBorder="1" applyProtection="1"/>
    <xf numFmtId="0" fontId="0" fillId="0" borderId="6" xfId="0" applyFont="1" applyBorder="1" applyAlignment="1" applyProtection="1">
      <alignment wrapText="1"/>
    </xf>
    <xf numFmtId="0" fontId="9" fillId="0" borderId="27" xfId="0" applyFont="1" applyBorder="1" applyProtection="1"/>
    <xf numFmtId="0" fontId="25" fillId="0" borderId="0" xfId="1" applyFont="1" applyAlignment="1" applyProtection="1"/>
    <xf numFmtId="0" fontId="6" fillId="0" borderId="29" xfId="0" applyFont="1" applyBorder="1" applyAlignment="1" applyProtection="1">
      <alignment wrapText="1"/>
    </xf>
    <xf numFmtId="0" fontId="0" fillId="0" borderId="6" xfId="0" applyBorder="1" applyAlignment="1" applyProtection="1">
      <alignment wrapText="1"/>
    </xf>
    <xf numFmtId="0" fontId="2" fillId="0" borderId="27" xfId="0" applyFont="1" applyBorder="1" applyAlignment="1" applyProtection="1">
      <alignment horizontal="left" vertical="top" wrapText="1"/>
    </xf>
    <xf numFmtId="0" fontId="2" fillId="0" borderId="6" xfId="0" applyFont="1" applyBorder="1" applyAlignment="1" applyProtection="1">
      <alignment horizontal="left" vertical="top" wrapText="1"/>
    </xf>
    <xf numFmtId="0" fontId="1" fillId="8" borderId="6" xfId="0" applyFont="1" applyFill="1" applyBorder="1" applyAlignment="1" applyProtection="1">
      <alignment horizontal="center" vertical="center"/>
      <protection locked="0"/>
    </xf>
    <xf numFmtId="0" fontId="0" fillId="8" borderId="28" xfId="0" applyFill="1" applyBorder="1" applyAlignment="1" applyProtection="1">
      <alignment horizontal="center" vertical="center"/>
      <protection locked="0"/>
    </xf>
    <xf numFmtId="0" fontId="1" fillId="9" borderId="6" xfId="0" applyFont="1" applyFill="1" applyBorder="1" applyAlignment="1" applyProtection="1">
      <alignment horizontal="center" vertical="center"/>
      <protection locked="0"/>
    </xf>
    <xf numFmtId="0" fontId="0" fillId="9" borderId="28" xfId="0" applyFill="1" applyBorder="1" applyAlignment="1" applyProtection="1">
      <alignment horizontal="center" vertical="center"/>
      <protection locked="0"/>
    </xf>
    <xf numFmtId="0" fontId="0" fillId="0" borderId="35" xfId="0" applyBorder="1" applyAlignment="1" applyProtection="1">
      <alignment wrapText="1"/>
    </xf>
    <xf numFmtId="0" fontId="0" fillId="0" borderId="35" xfId="0" applyFont="1" applyBorder="1" applyAlignment="1" applyProtection="1">
      <alignment wrapText="1"/>
    </xf>
    <xf numFmtId="0" fontId="0" fillId="0" borderId="6" xfId="0" applyBorder="1" applyAlignment="1" applyProtection="1">
      <alignment horizontal="center"/>
    </xf>
    <xf numFmtId="0" fontId="0" fillId="0" borderId="28" xfId="0" applyBorder="1" applyAlignment="1" applyProtection="1">
      <alignment horizontal="center"/>
    </xf>
    <xf numFmtId="0" fontId="22" fillId="0" borderId="27" xfId="0" applyFont="1" applyBorder="1" applyAlignment="1" applyProtection="1">
      <alignment wrapText="1"/>
    </xf>
    <xf numFmtId="0" fontId="22" fillId="0" borderId="6" xfId="0" applyFont="1" applyBorder="1" applyAlignment="1" applyProtection="1">
      <alignment wrapText="1"/>
    </xf>
    <xf numFmtId="0" fontId="22" fillId="0" borderId="28" xfId="0" applyFont="1" applyBorder="1" applyAlignment="1" applyProtection="1">
      <alignment wrapText="1"/>
    </xf>
    <xf numFmtId="0" fontId="23" fillId="7" borderId="0" xfId="0" applyFont="1" applyFill="1" applyAlignment="1" applyProtection="1">
      <alignment horizontal="left" vertical="center"/>
      <protection locked="0"/>
    </xf>
    <xf numFmtId="0" fontId="3" fillId="0" borderId="33" xfId="0" applyFont="1" applyBorder="1" applyAlignment="1" applyProtection="1">
      <alignment horizontal="center" vertical="center"/>
      <protection locked="0"/>
    </xf>
    <xf numFmtId="0" fontId="0" fillId="0" borderId="30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</xf>
    <xf numFmtId="0" fontId="0" fillId="0" borderId="28" xfId="0" applyBorder="1" applyAlignment="1" applyProtection="1">
      <alignment horizontal="center" vertical="center"/>
    </xf>
    <xf numFmtId="0" fontId="23" fillId="4" borderId="0" xfId="0" applyNumberFormat="1" applyFont="1" applyFill="1" applyAlignment="1" applyProtection="1">
      <alignment horizontal="left" vertical="center"/>
      <protection locked="0"/>
    </xf>
    <xf numFmtId="0" fontId="23" fillId="4" borderId="0" xfId="0" applyFont="1" applyFill="1" applyAlignment="1" applyProtection="1">
      <alignment horizontal="left" vertical="center"/>
      <protection locked="0"/>
    </xf>
    <xf numFmtId="14" fontId="23" fillId="0" borderId="0" xfId="0" applyNumberFormat="1" applyFont="1" applyFill="1" applyAlignment="1" applyProtection="1">
      <alignment horizontal="left" vertical="center"/>
    </xf>
    <xf numFmtId="0" fontId="23" fillId="0" borderId="0" xfId="0" applyFont="1" applyFill="1" applyAlignment="1" applyProtection="1">
      <alignment horizontal="left" vertical="center"/>
    </xf>
    <xf numFmtId="0" fontId="11" fillId="0" borderId="27" xfId="0" applyFont="1" applyBorder="1" applyAlignment="1" applyProtection="1">
      <alignment wrapText="1"/>
    </xf>
    <xf numFmtId="0" fontId="11" fillId="0" borderId="6" xfId="0" applyFont="1" applyBorder="1" applyAlignment="1" applyProtection="1">
      <alignment wrapText="1"/>
    </xf>
    <xf numFmtId="0" fontId="0" fillId="0" borderId="6" xfId="0" applyBorder="1" applyAlignment="1" applyProtection="1">
      <alignment vertical="center"/>
    </xf>
    <xf numFmtId="0" fontId="0" fillId="0" borderId="28" xfId="0" applyBorder="1" applyAlignment="1" applyProtection="1">
      <alignment vertical="center"/>
    </xf>
    <xf numFmtId="0" fontId="12" fillId="0" borderId="31" xfId="0" applyFont="1" applyBorder="1" applyAlignment="1" applyProtection="1">
      <alignment horizontal="center" vertical="center"/>
    </xf>
    <xf numFmtId="0" fontId="0" fillId="0" borderId="32" xfId="0" applyFont="1" applyBorder="1" applyAlignment="1" applyProtection="1">
      <alignment horizontal="center" vertical="center"/>
    </xf>
    <xf numFmtId="0" fontId="17" fillId="0" borderId="12" xfId="0" applyFont="1" applyBorder="1" applyAlignment="1" applyProtection="1">
      <alignment horizontal="center"/>
    </xf>
    <xf numFmtId="0" fontId="17" fillId="0" borderId="14" xfId="0" applyFont="1" applyBorder="1" applyAlignment="1" applyProtection="1">
      <alignment horizontal="center"/>
    </xf>
    <xf numFmtId="0" fontId="17" fillId="0" borderId="15" xfId="0" applyFont="1" applyBorder="1" applyAlignment="1" applyProtection="1">
      <alignment horizontal="center" vertical="center" wrapText="1"/>
    </xf>
    <xf numFmtId="0" fontId="17" fillId="0" borderId="16" xfId="0" applyFont="1" applyBorder="1" applyAlignment="1" applyProtection="1">
      <alignment horizontal="center" vertical="center" wrapText="1"/>
    </xf>
    <xf numFmtId="0" fontId="17" fillId="0" borderId="17" xfId="0" applyFont="1" applyBorder="1" applyAlignment="1" applyProtection="1">
      <alignment horizontal="center" vertical="center" wrapText="1"/>
    </xf>
    <xf numFmtId="0" fontId="17" fillId="0" borderId="19" xfId="0" applyFont="1" applyBorder="1" applyAlignment="1" applyProtection="1">
      <alignment horizontal="center" vertical="center" wrapText="1"/>
    </xf>
    <xf numFmtId="0" fontId="17" fillId="0" borderId="20" xfId="0" applyFont="1" applyBorder="1" applyAlignment="1" applyProtection="1">
      <alignment horizontal="center" vertical="center" wrapText="1"/>
    </xf>
    <xf numFmtId="0" fontId="17" fillId="0" borderId="21" xfId="0" applyFont="1" applyBorder="1" applyAlignment="1" applyProtection="1">
      <alignment horizontal="center" vertical="center" wrapText="1"/>
    </xf>
    <xf numFmtId="0" fontId="18" fillId="0" borderId="13" xfId="0" applyFont="1" applyBorder="1" applyProtection="1"/>
    <xf numFmtId="0" fontId="18" fillId="0" borderId="14" xfId="0" applyFont="1" applyBorder="1" applyProtection="1"/>
    <xf numFmtId="0" fontId="17" fillId="0" borderId="18" xfId="0" applyFont="1" applyBorder="1" applyAlignment="1" applyProtection="1">
      <alignment horizontal="center" vertical="center"/>
    </xf>
    <xf numFmtId="0" fontId="18" fillId="0" borderId="22" xfId="0" applyFont="1" applyBorder="1" applyProtection="1"/>
  </cellXfs>
  <cellStyles count="2">
    <cellStyle name="Hyperlink" xfId="1" builtinId="8"/>
    <cellStyle name="Normal" xfId="0" builtinId="0"/>
  </cellStyles>
  <dxfs count="7">
    <dxf>
      <font>
        <color rgb="FF0070C0"/>
      </font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theme="9" tint="0.79998168889431442"/>
        </patternFill>
      </fill>
    </dxf>
    <dxf>
      <fill>
        <patternFill>
          <bgColor rgb="FFFFC7CE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</dxfs>
  <tableStyles count="0" defaultTableStyle="TableStyleMedium2" defaultPivotStyle="PivotStyleLight16"/>
  <colors>
    <mruColors>
      <color rgb="FFCCECFF"/>
      <color rgb="FF99CCFF"/>
      <color rgb="FFFFFF99"/>
      <color rgb="FFFFFFFF"/>
      <color rgb="FFFFFFCC"/>
      <color rgb="FFFF9999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115128</xdr:colOff>
      <xdr:row>34</xdr:row>
      <xdr:rowOff>16980</xdr:rowOff>
    </xdr:from>
    <xdr:to>
      <xdr:col>6</xdr:col>
      <xdr:colOff>311702</xdr:colOff>
      <xdr:row>35</xdr:row>
      <xdr:rowOff>118580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DAAFB9E7-B114-44BF-A248-A1F96B2BCC97}"/>
            </a:ext>
            <a:ext uri="{6ECC49D1-AA05-4338-93AA-15A1B29DFB0A}">
              <asl:scriptLink xmlns:asl="http://schemas.microsoft.com/office/drawing/2021/scriptlink" val="{&quot;shareId&quot;:&quot;ms-officescript%3A%2F%2Fonedrive_business_sharinglink%2Fu!aHR0cHM6Ly9taWxwaXRhcy1teS5zaGFyZXBvaW50LmNvbS86dTovZy9wZXJzb25hbC9qdWxpdV9taWxwaXRhc19nb3YvRVRBcVFtbGV4VUpDdjM2MVFoWUF1Y3NCMVJJN0VUVkwzcXpYdXdkblJuMjhyZw&quot;}"/>
            </a:ext>
          </a:extLst>
        </xdr:cNvPr>
        <xdr:cNvSpPr/>
      </xdr:nvSpPr>
      <xdr:spPr>
        <a:xfrm>
          <a:off x="4123911" y="6551958"/>
          <a:ext cx="1422400" cy="292100"/>
        </a:xfrm>
        <a:prstGeom prst="roundRect">
          <a:avLst/>
        </a:prstGeom>
        <a:solidFill>
          <a:srgbClr val="107C41"/>
        </a:solidFill>
        <a:ln w="12700" cap="flat" cmpd="sng" algn="ctr">
          <a:solidFill>
            <a:schemeClr val="accent1">
              <a:shade val="15000"/>
            </a:schemeClr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/>
            <a:t>Clear Appliances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ilpitas.gov/DocumentCenter/View/7323/Electrical-Load-Calculations-XLSX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AEF44-2A36-4537-A52F-0E3508FC5BB6}">
  <sheetPr codeName="Sheet1"/>
  <dimension ref="B1:H43"/>
  <sheetViews>
    <sheetView tabSelected="1" zoomScale="115" zoomScaleNormal="115" workbookViewId="0">
      <selection activeCell="H24" sqref="H24"/>
    </sheetView>
  </sheetViews>
  <sheetFormatPr defaultColWidth="9.140625" defaultRowHeight="15" x14ac:dyDescent="0.25"/>
  <cols>
    <col min="1" max="1" width="7.7109375" style="6" customWidth="1"/>
    <col min="2" max="2" width="36" style="6" customWidth="1"/>
    <col min="3" max="3" width="7.5703125" style="6" customWidth="1"/>
    <col min="4" max="4" width="8.85546875" style="6" customWidth="1"/>
    <col min="5" max="16384" width="9.140625" style="6"/>
  </cols>
  <sheetData>
    <row r="1" spans="2:8" ht="21" customHeight="1" x14ac:dyDescent="0.25">
      <c r="B1" s="82" t="s">
        <v>93</v>
      </c>
      <c r="C1" s="83"/>
      <c r="D1" s="83"/>
    </row>
    <row r="2" spans="2:8" ht="12" customHeight="1" x14ac:dyDescent="0.25">
      <c r="B2" s="82"/>
      <c r="C2" s="83"/>
      <c r="D2" s="83"/>
    </row>
    <row r="3" spans="2:8" ht="15" customHeight="1" x14ac:dyDescent="0.25">
      <c r="B3" s="84" t="s">
        <v>97</v>
      </c>
      <c r="C3" s="133"/>
      <c r="D3" s="133"/>
    </row>
    <row r="4" spans="2:8" ht="15" customHeight="1" x14ac:dyDescent="0.25">
      <c r="B4" s="46" t="s">
        <v>101</v>
      </c>
      <c r="C4" s="128"/>
      <c r="D4" s="128"/>
    </row>
    <row r="5" spans="2:8" ht="15" customHeight="1" x14ac:dyDescent="0.25">
      <c r="B5" s="84" t="s">
        <v>96</v>
      </c>
      <c r="C5" s="134"/>
      <c r="D5" s="134"/>
    </row>
    <row r="6" spans="2:8" ht="15" customHeight="1" x14ac:dyDescent="0.25">
      <c r="B6" s="84"/>
      <c r="C6" s="83"/>
      <c r="D6" s="83"/>
    </row>
    <row r="7" spans="2:8" ht="15" customHeight="1" x14ac:dyDescent="0.25">
      <c r="B7" s="84" t="s">
        <v>98</v>
      </c>
      <c r="C7" s="135">
        <f ca="1">TODAY()</f>
        <v>45944</v>
      </c>
      <c r="D7" s="136"/>
    </row>
    <row r="8" spans="2:8" ht="17.45" customHeight="1" x14ac:dyDescent="0.25">
      <c r="B8" s="84"/>
      <c r="C8" s="83"/>
      <c r="D8" s="83"/>
    </row>
    <row r="9" spans="2:8" x14ac:dyDescent="0.25">
      <c r="B9" s="85" t="s">
        <v>94</v>
      </c>
      <c r="C9" s="86"/>
      <c r="D9" s="87"/>
      <c r="E9" s="88" t="s">
        <v>91</v>
      </c>
    </row>
    <row r="10" spans="2:8" x14ac:dyDescent="0.25">
      <c r="B10" s="89"/>
      <c r="C10" s="90"/>
      <c r="D10" s="91"/>
    </row>
    <row r="11" spans="2:8" x14ac:dyDescent="0.25">
      <c r="B11" s="92" t="s">
        <v>78</v>
      </c>
      <c r="C11" s="5"/>
      <c r="D11" s="93" t="s">
        <v>79</v>
      </c>
      <c r="E11" s="137" t="s">
        <v>89</v>
      </c>
      <c r="F11" s="138"/>
      <c r="G11" s="138"/>
      <c r="H11" s="138"/>
    </row>
    <row r="12" spans="2:8" x14ac:dyDescent="0.25">
      <c r="B12" s="92"/>
      <c r="C12" s="94"/>
      <c r="D12" s="93"/>
      <c r="E12" s="137"/>
      <c r="F12" s="138"/>
      <c r="G12" s="138"/>
      <c r="H12" s="138"/>
    </row>
    <row r="13" spans="2:8" x14ac:dyDescent="0.25">
      <c r="B13" s="95" t="s">
        <v>112</v>
      </c>
      <c r="C13" s="139"/>
      <c r="D13" s="140"/>
    </row>
    <row r="14" spans="2:8" ht="15" customHeight="1" x14ac:dyDescent="0.25">
      <c r="B14" s="96" t="s">
        <v>6</v>
      </c>
      <c r="C14" s="94"/>
      <c r="D14" s="93"/>
      <c r="F14" s="97"/>
      <c r="G14" s="97"/>
      <c r="H14" s="97"/>
    </row>
    <row r="15" spans="2:8" ht="15" customHeight="1" x14ac:dyDescent="0.25">
      <c r="B15" s="98" t="s">
        <v>111</v>
      </c>
      <c r="C15" s="117"/>
      <c r="D15" s="118"/>
      <c r="E15" s="115" t="s">
        <v>123</v>
      </c>
      <c r="F15" s="116"/>
      <c r="G15" s="116"/>
      <c r="H15" s="116"/>
    </row>
    <row r="16" spans="2:8" x14ac:dyDescent="0.25">
      <c r="B16" s="98" t="s">
        <v>113</v>
      </c>
      <c r="C16" s="119"/>
      <c r="D16" s="120"/>
      <c r="E16" s="115"/>
      <c r="F16" s="116"/>
      <c r="G16" s="116"/>
      <c r="H16" s="116"/>
    </row>
    <row r="17" spans="2:8" x14ac:dyDescent="0.25">
      <c r="B17" s="99" t="s">
        <v>117</v>
      </c>
      <c r="C17" s="117"/>
      <c r="D17" s="118"/>
      <c r="E17" s="100"/>
      <c r="F17" s="100"/>
      <c r="G17" s="100"/>
      <c r="H17" s="100"/>
    </row>
    <row r="18" spans="2:8" x14ac:dyDescent="0.25">
      <c r="B18" s="101"/>
      <c r="C18" s="102"/>
      <c r="D18" s="103"/>
    </row>
    <row r="19" spans="2:8" x14ac:dyDescent="0.25">
      <c r="B19" s="96" t="s">
        <v>63</v>
      </c>
      <c r="C19" s="102"/>
      <c r="D19" s="103"/>
    </row>
    <row r="20" spans="2:8" x14ac:dyDescent="0.25">
      <c r="B20" s="104" t="s">
        <v>90</v>
      </c>
      <c r="C20" s="117"/>
      <c r="D20" s="118"/>
      <c r="E20" s="105"/>
      <c r="F20" s="106"/>
      <c r="G20" s="106"/>
      <c r="H20" s="106"/>
    </row>
    <row r="21" spans="2:8" x14ac:dyDescent="0.25">
      <c r="B21" s="107" t="s">
        <v>92</v>
      </c>
      <c r="C21" s="119"/>
      <c r="D21" s="120"/>
      <c r="E21" s="108"/>
      <c r="F21" s="106"/>
      <c r="G21" s="106"/>
      <c r="H21" s="106"/>
    </row>
    <row r="22" spans="2:8" x14ac:dyDescent="0.25">
      <c r="B22" s="109" t="s">
        <v>99</v>
      </c>
      <c r="C22" s="117"/>
      <c r="D22" s="118"/>
      <c r="E22" s="106"/>
      <c r="F22" s="106"/>
      <c r="G22" s="106"/>
      <c r="H22" s="106"/>
    </row>
    <row r="23" spans="2:8" x14ac:dyDescent="0.25">
      <c r="B23" s="107"/>
      <c r="C23" s="102"/>
      <c r="D23" s="103"/>
      <c r="E23" s="110"/>
      <c r="F23" s="110"/>
      <c r="G23" s="110"/>
      <c r="H23" s="110"/>
    </row>
    <row r="24" spans="2:8" x14ac:dyDescent="0.25">
      <c r="B24" s="96" t="s">
        <v>21</v>
      </c>
      <c r="C24" s="102"/>
      <c r="D24" s="103"/>
    </row>
    <row r="25" spans="2:8" x14ac:dyDescent="0.25">
      <c r="B25" s="101" t="s">
        <v>23</v>
      </c>
      <c r="C25" s="117"/>
      <c r="D25" s="118"/>
    </row>
    <row r="26" spans="2:8" x14ac:dyDescent="0.25">
      <c r="B26" s="92"/>
      <c r="C26" s="102"/>
      <c r="D26" s="103"/>
    </row>
    <row r="27" spans="2:8" x14ac:dyDescent="0.25">
      <c r="B27" s="96" t="s">
        <v>26</v>
      </c>
      <c r="C27" s="102"/>
      <c r="D27" s="103"/>
    </row>
    <row r="28" spans="2:8" x14ac:dyDescent="0.25">
      <c r="B28" s="111" t="s">
        <v>71</v>
      </c>
      <c r="C28" s="117"/>
      <c r="D28" s="118"/>
    </row>
    <row r="29" spans="2:8" x14ac:dyDescent="0.25">
      <c r="B29" s="111" t="s">
        <v>86</v>
      </c>
      <c r="C29" s="119"/>
      <c r="D29" s="120"/>
    </row>
    <row r="30" spans="2:8" x14ac:dyDescent="0.25">
      <c r="B30" s="111" t="s">
        <v>85</v>
      </c>
      <c r="C30" s="117"/>
      <c r="D30" s="118"/>
    </row>
    <row r="31" spans="2:8" x14ac:dyDescent="0.25">
      <c r="B31" s="92"/>
      <c r="C31" s="102"/>
      <c r="D31" s="103"/>
    </row>
    <row r="32" spans="2:8" x14ac:dyDescent="0.25">
      <c r="B32" s="96" t="s">
        <v>81</v>
      </c>
      <c r="C32" s="102"/>
      <c r="D32" s="103"/>
    </row>
    <row r="33" spans="2:5" x14ac:dyDescent="0.25">
      <c r="B33" s="111" t="s">
        <v>32</v>
      </c>
      <c r="C33" s="117"/>
      <c r="D33" s="118"/>
    </row>
    <row r="34" spans="2:5" x14ac:dyDescent="0.25">
      <c r="B34" s="111" t="s">
        <v>95</v>
      </c>
      <c r="C34" s="119"/>
      <c r="D34" s="120"/>
    </row>
    <row r="35" spans="2:5" x14ac:dyDescent="0.25">
      <c r="B35" s="98" t="s">
        <v>114</v>
      </c>
      <c r="C35" s="117"/>
      <c r="D35" s="118"/>
    </row>
    <row r="36" spans="2:5" x14ac:dyDescent="0.25">
      <c r="B36" s="99" t="s">
        <v>116</v>
      </c>
      <c r="C36" s="119"/>
      <c r="D36" s="120"/>
    </row>
    <row r="37" spans="2:5" x14ac:dyDescent="0.25">
      <c r="B37" s="92"/>
      <c r="C37" s="94"/>
      <c r="D37" s="93"/>
    </row>
    <row r="38" spans="2:5" x14ac:dyDescent="0.25">
      <c r="B38" s="96" t="s">
        <v>80</v>
      </c>
      <c r="C38" s="131" t="str">
        <f>IF('Background Calculation'!Z17&lt;&gt;4,"See Below",IF('Background Calculation'!I33=100,"Yes","No"))</f>
        <v>See Below</v>
      </c>
      <c r="D38" s="132"/>
    </row>
    <row r="39" spans="2:5" ht="15.6" customHeight="1" x14ac:dyDescent="0.25">
      <c r="B39" s="92" t="s">
        <v>87</v>
      </c>
      <c r="C39" s="123" t="str">
        <f>IF('Background Calculation'!Z17&lt;&gt;4," ",IF($C$38="Yes","No Upgrade",_xlfn.CONCAT('Background Calculation'!$I$33,"A")))</f>
        <v xml:space="preserve"> </v>
      </c>
      <c r="D39" s="124"/>
    </row>
    <row r="40" spans="2:5" ht="48" customHeight="1" x14ac:dyDescent="0.25">
      <c r="B40" s="125" t="str">
        <f>VLOOKUP('Background Calculation'!$Z$17,'Background Calculation'!W18:X23,2,FALSE)</f>
        <v>Please fill in your name, contact info, and address.</v>
      </c>
      <c r="C40" s="126"/>
      <c r="D40" s="127"/>
      <c r="E40" s="112" t="s">
        <v>115</v>
      </c>
    </row>
    <row r="41" spans="2:5" ht="45" x14ac:dyDescent="0.25">
      <c r="B41" s="113" t="s">
        <v>102</v>
      </c>
      <c r="C41" s="129"/>
      <c r="D41" s="130"/>
      <c r="E41" s="83" t="s">
        <v>120</v>
      </c>
    </row>
    <row r="42" spans="2:5" ht="62.25" customHeight="1" x14ac:dyDescent="0.25">
      <c r="B42" s="121" t="s">
        <v>88</v>
      </c>
      <c r="C42" s="122"/>
      <c r="D42" s="122"/>
    </row>
    <row r="43" spans="2:5" x14ac:dyDescent="0.25">
      <c r="B43" s="114"/>
      <c r="C43" s="114"/>
      <c r="D43" s="114"/>
    </row>
  </sheetData>
  <sheetProtection algorithmName="SHA-512" hashValue="Wfzl1heTWzYZ5aZQRcIoqu2DtoKk/Nob01OZC1AUD0X8iMuFrwPRVe12koxfpSP/HDyH5FQC7a3BTP8P3BnziQ==" saltValue="6fh1dmIx3TwwygVZBtNaug==" spinCount="100000" sheet="1" objects="1" scenarios="1"/>
  <mergeCells count="26">
    <mergeCell ref="C3:D3"/>
    <mergeCell ref="C5:D5"/>
    <mergeCell ref="C7:D7"/>
    <mergeCell ref="E11:H12"/>
    <mergeCell ref="C13:D13"/>
    <mergeCell ref="B42:D42"/>
    <mergeCell ref="C39:D39"/>
    <mergeCell ref="B40:D40"/>
    <mergeCell ref="C4:D4"/>
    <mergeCell ref="C41:D41"/>
    <mergeCell ref="C38:D38"/>
    <mergeCell ref="C15:D15"/>
    <mergeCell ref="C16:D16"/>
    <mergeCell ref="C17:D17"/>
    <mergeCell ref="C20:D20"/>
    <mergeCell ref="C21:D21"/>
    <mergeCell ref="C22:D22"/>
    <mergeCell ref="C25:D25"/>
    <mergeCell ref="C28:D28"/>
    <mergeCell ref="C29:D29"/>
    <mergeCell ref="E15:H16"/>
    <mergeCell ref="C33:D33"/>
    <mergeCell ref="C34:D34"/>
    <mergeCell ref="C35:D35"/>
    <mergeCell ref="C36:D36"/>
    <mergeCell ref="C30:D30"/>
  </mergeCells>
  <conditionalFormatting sqref="C3 C5">
    <cfRule type="containsBlanks" dxfId="6" priority="9">
      <formula>LEN(TRIM(C3))=0</formula>
    </cfRule>
  </conditionalFormatting>
  <conditionalFormatting sqref="C11">
    <cfRule type="expression" dxfId="5" priority="5">
      <formula>OR($C$11=0," ")</formula>
    </cfRule>
  </conditionalFormatting>
  <conditionalFormatting sqref="C38:C39">
    <cfRule type="cellIs" dxfId="4" priority="6" operator="equal">
      <formula>"No"</formula>
    </cfRule>
    <cfRule type="cellIs" dxfId="3" priority="7" operator="equal">
      <formula>"Yes"</formula>
    </cfRule>
  </conditionalFormatting>
  <conditionalFormatting sqref="C41">
    <cfRule type="containsBlanks" dxfId="2" priority="1">
      <formula>LEN(TRIM(C41))=0</formula>
    </cfRule>
  </conditionalFormatting>
  <conditionalFormatting sqref="C4:D4">
    <cfRule type="containsBlanks" dxfId="1" priority="3">
      <formula>LEN(TRIM(C4))=0</formula>
    </cfRule>
  </conditionalFormatting>
  <dataValidations count="4">
    <dataValidation type="custom" allowBlank="1" showInputMessage="1" showErrorMessage="1" errorTitle="Square Footage" error="Please fill in the square footage of your house excluding the garage." sqref="C11" xr:uid="{4303E769-D686-4AE5-8AA5-5B92BFBA397C}">
      <formula1>LEN($C$1)&gt;0</formula1>
    </dataValidation>
    <dataValidation allowBlank="1" showInputMessage="1" showErrorMessage="1" prompt="For example: generators and RV outlets" sqref="B34" xr:uid="{5BC902AD-C01F-4EDB-8A9A-3B34A5B498E1}"/>
    <dataValidation allowBlank="1" showInputMessage="1" showErrorMessage="1" prompt="Systems with a compressor outside such as mini splits." sqref="B15" xr:uid="{7A4997E9-3ACE-4939-BDE0-F549660E5095}"/>
    <dataValidation type="custom" allowBlank="1" showInputMessage="1" showErrorMessage="1" error="Name does not match applicant name." sqref="C41:D41" xr:uid="{CC91D75E-6A92-4787-91A3-BAAE35489B1D}">
      <formula1>IFERROR(MATCH($C$41,$C$3,0),0)</formula1>
    </dataValidation>
  </dataValidations>
  <hyperlinks>
    <hyperlink ref="E40" r:id="rId1" xr:uid="{C50F1EB0-2799-49BC-A6BD-BBA4FC66219E}"/>
  </hyperlinks>
  <pageMargins left="0.7" right="0.7" top="0.75" bottom="0.75" header="0.3" footer="0.3"/>
  <pageSetup orientation="portrait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59D61BCF-3A6A-4629-9D3E-ED9BF9A9604A}">
            <xm:f>OR('Background Calculation'!$Z$17=2,'Background Calculation'!$Z$17=3)</xm:f>
            <x14:dxf>
              <font>
                <color rgb="FF0070C0"/>
              </font>
            </x14:dxf>
          </x14:cfRule>
          <xm:sqref>E40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35BE547-A75C-401F-A29D-D108A654D623}">
          <x14:formula1>
            <xm:f>'Background Calculation'!$Z$5:$Z$6</xm:f>
          </x14:formula1>
          <xm:sqref>C15:D17 C20:D22 C25:D25 C28:D30 C33:D36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3:Z1000"/>
  <sheetViews>
    <sheetView workbookViewId="0">
      <selection activeCell="S19" sqref="S19"/>
    </sheetView>
  </sheetViews>
  <sheetFormatPr defaultColWidth="14.42578125" defaultRowHeight="15" customHeight="1" x14ac:dyDescent="0.25"/>
  <cols>
    <col min="1" max="2" width="8.7109375" style="6" customWidth="1"/>
    <col min="3" max="3" width="10" style="6" customWidth="1"/>
    <col min="4" max="8" width="8.7109375" style="6" customWidth="1"/>
    <col min="9" max="9" width="10.140625" style="6" customWidth="1"/>
    <col min="10" max="10" width="8.7109375" style="6" customWidth="1"/>
    <col min="11" max="11" width="2.42578125" style="6" customWidth="1"/>
    <col min="12" max="12" width="8.7109375" style="6" customWidth="1"/>
    <col min="13" max="13" width="25.140625" style="6" customWidth="1"/>
    <col min="14" max="14" width="11.7109375" style="6" customWidth="1"/>
    <col min="15" max="16" width="8.7109375" style="6" customWidth="1"/>
    <col min="17" max="17" width="6" style="6" customWidth="1"/>
    <col min="18" max="25" width="8.7109375" style="6" customWidth="1"/>
    <col min="26" max="26" width="10.28515625" style="6" customWidth="1"/>
    <col min="27" max="16384" width="14.42578125" style="6"/>
  </cols>
  <sheetData>
    <row r="3" spans="1:26" ht="15.75" thickBot="1" x14ac:dyDescent="0.3">
      <c r="A3" s="9" t="s">
        <v>0</v>
      </c>
      <c r="I3" s="10" t="s">
        <v>1</v>
      </c>
      <c r="M3" s="10" t="s">
        <v>2</v>
      </c>
      <c r="N3" s="11" t="s">
        <v>69</v>
      </c>
    </row>
    <row r="4" spans="1:26" x14ac:dyDescent="0.25">
      <c r="A4" s="12" t="s">
        <v>3</v>
      </c>
      <c r="B4" s="13"/>
      <c r="C4" s="13"/>
      <c r="D4" s="13"/>
      <c r="E4" s="13" t="s">
        <v>4</v>
      </c>
      <c r="F4" s="13"/>
      <c r="G4" s="13"/>
      <c r="H4" s="13"/>
      <c r="I4" s="14"/>
      <c r="M4" s="10" t="s">
        <v>5</v>
      </c>
      <c r="N4" s="15" t="s">
        <v>70</v>
      </c>
      <c r="W4" s="141" t="s">
        <v>84</v>
      </c>
      <c r="X4" s="142"/>
      <c r="Z4" s="16" t="s">
        <v>121</v>
      </c>
    </row>
    <row r="5" spans="1:26" x14ac:dyDescent="0.25">
      <c r="A5" s="17"/>
      <c r="I5" s="18"/>
      <c r="M5" s="19" t="s">
        <v>6</v>
      </c>
      <c r="W5" s="20" t="s">
        <v>79</v>
      </c>
      <c r="X5" s="21" t="s">
        <v>110</v>
      </c>
      <c r="Z5" s="16"/>
    </row>
    <row r="6" spans="1:26" ht="15.75" thickBot="1" x14ac:dyDescent="0.3">
      <c r="A6" s="22">
        <v>1</v>
      </c>
      <c r="B6" s="23" t="s">
        <v>7</v>
      </c>
      <c r="C6" s="23"/>
      <c r="D6" s="23"/>
      <c r="E6" s="4">
        <f>'Electric Appliance Checklist'!$C$11</f>
        <v>0</v>
      </c>
      <c r="F6" s="24" t="s">
        <v>8</v>
      </c>
      <c r="G6" s="23">
        <v>3</v>
      </c>
      <c r="H6" s="23" t="s">
        <v>9</v>
      </c>
      <c r="I6" s="25">
        <f>E6*G6</f>
        <v>0</v>
      </c>
      <c r="M6" s="15" t="s">
        <v>77</v>
      </c>
      <c r="N6" s="1">
        <f>O6*Q6</f>
        <v>2700</v>
      </c>
      <c r="O6" s="10">
        <v>1800</v>
      </c>
      <c r="P6" s="10" t="s">
        <v>10</v>
      </c>
      <c r="Q6" s="26">
        <f>IF($E$6&lt;1000,1.5,VLOOKUP(ROUNDUP(E6/500,0)*500,W6:X10,2))</f>
        <v>1.5</v>
      </c>
      <c r="R6" s="10" t="s">
        <v>11</v>
      </c>
      <c r="S6" s="8" t="str">
        <f>IF('Electric Appliance Checklist'!$C$15="Yes","TRUE","FALSE")</f>
        <v>FALSE</v>
      </c>
      <c r="W6" s="27">
        <v>1000</v>
      </c>
      <c r="X6" s="28">
        <v>1.5</v>
      </c>
      <c r="Z6" s="16" t="s">
        <v>122</v>
      </c>
    </row>
    <row r="7" spans="1:26" x14ac:dyDescent="0.25">
      <c r="A7" s="12" t="s">
        <v>12</v>
      </c>
      <c r="B7" s="13"/>
      <c r="C7" s="13"/>
      <c r="D7" s="13"/>
      <c r="E7" s="13"/>
      <c r="F7" s="13"/>
      <c r="G7" s="13"/>
      <c r="H7" s="13"/>
      <c r="I7" s="29"/>
      <c r="M7" s="10" t="s">
        <v>13</v>
      </c>
      <c r="N7" s="1">
        <v>1200</v>
      </c>
      <c r="S7" s="8" t="str">
        <f>IF('Electric Appliance Checklist'!$C$16="Yes","TRUE","FALSE")</f>
        <v>FALSE</v>
      </c>
      <c r="W7" s="27">
        <v>1500</v>
      </c>
      <c r="X7" s="28">
        <v>2</v>
      </c>
    </row>
    <row r="8" spans="1:26" x14ac:dyDescent="0.25">
      <c r="A8" s="17">
        <v>2</v>
      </c>
      <c r="B8" s="10" t="s">
        <v>14</v>
      </c>
      <c r="E8" s="30">
        <v>2</v>
      </c>
      <c r="F8" s="10" t="s">
        <v>15</v>
      </c>
      <c r="G8" s="10">
        <v>1500</v>
      </c>
      <c r="H8" s="10" t="s">
        <v>16</v>
      </c>
      <c r="I8" s="31">
        <f t="shared" ref="I8:I10" si="0">E8*G8</f>
        <v>3000</v>
      </c>
      <c r="M8" s="10" t="s">
        <v>17</v>
      </c>
      <c r="N8" s="1">
        <v>1000</v>
      </c>
      <c r="W8" s="27">
        <v>2000</v>
      </c>
      <c r="X8" s="28">
        <v>3</v>
      </c>
    </row>
    <row r="9" spans="1:26" x14ac:dyDescent="0.25">
      <c r="A9" s="17">
        <v>3</v>
      </c>
      <c r="B9" s="10" t="s">
        <v>18</v>
      </c>
      <c r="E9" s="30">
        <v>0</v>
      </c>
      <c r="F9" s="10" t="s">
        <v>15</v>
      </c>
      <c r="G9" s="10">
        <v>1500</v>
      </c>
      <c r="H9" s="10" t="s">
        <v>16</v>
      </c>
      <c r="I9" s="31">
        <f t="shared" si="0"/>
        <v>0</v>
      </c>
      <c r="M9" s="32" t="s">
        <v>124</v>
      </c>
      <c r="N9" s="15"/>
      <c r="S9" s="8" t="str">
        <f>IF('Electric Appliance Checklist'!$C$17="Yes","TRUE","FALSE")</f>
        <v>FALSE</v>
      </c>
      <c r="W9" s="27">
        <v>2500</v>
      </c>
      <c r="X9" s="28">
        <v>4</v>
      </c>
    </row>
    <row r="10" spans="1:26" x14ac:dyDescent="0.25">
      <c r="A10" s="17">
        <v>4</v>
      </c>
      <c r="B10" s="10" t="s">
        <v>20</v>
      </c>
      <c r="E10" s="30">
        <v>1</v>
      </c>
      <c r="F10" s="10" t="s">
        <v>15</v>
      </c>
      <c r="G10" s="10">
        <v>1500</v>
      </c>
      <c r="H10" s="33" t="s">
        <v>16</v>
      </c>
      <c r="I10" s="31">
        <f t="shared" si="0"/>
        <v>1500</v>
      </c>
      <c r="W10" s="34">
        <v>3000</v>
      </c>
      <c r="X10" s="35">
        <v>5</v>
      </c>
    </row>
    <row r="11" spans="1:26" x14ac:dyDescent="0.25">
      <c r="A11" s="17">
        <v>5</v>
      </c>
      <c r="B11" s="33" t="s">
        <v>22</v>
      </c>
      <c r="F11" s="10"/>
      <c r="H11" s="33"/>
      <c r="I11" s="2">
        <f>IF($S$19="TRUE",$N$19,0)</f>
        <v>0</v>
      </c>
      <c r="M11" s="36" t="s">
        <v>63</v>
      </c>
      <c r="N11" s="1"/>
    </row>
    <row r="12" spans="1:26" x14ac:dyDescent="0.25">
      <c r="A12" s="17"/>
      <c r="B12" s="10" t="s">
        <v>24</v>
      </c>
      <c r="F12" s="10"/>
      <c r="I12" s="2">
        <f>IF($S$25="TRUE",$N$25,0)</f>
        <v>0</v>
      </c>
      <c r="M12" s="15" t="s">
        <v>68</v>
      </c>
      <c r="N12" s="1">
        <v>0</v>
      </c>
    </row>
    <row r="13" spans="1:26" x14ac:dyDescent="0.25">
      <c r="A13" s="17"/>
      <c r="B13" s="10" t="s">
        <v>25</v>
      </c>
      <c r="F13" s="10"/>
      <c r="I13" s="2">
        <f>IF(S22="TRUE",$N$22,0)</f>
        <v>0</v>
      </c>
      <c r="M13" s="37" t="s">
        <v>64</v>
      </c>
      <c r="N13" s="1"/>
    </row>
    <row r="14" spans="1:26" x14ac:dyDescent="0.25">
      <c r="A14" s="17"/>
      <c r="B14" s="10" t="s">
        <v>27</v>
      </c>
      <c r="F14" s="10"/>
      <c r="I14" s="2">
        <f>IF($S$23="TRUE",$N$23,0)</f>
        <v>0</v>
      </c>
      <c r="M14" s="37" t="s">
        <v>66</v>
      </c>
      <c r="N14" s="1">
        <v>4500</v>
      </c>
      <c r="S14" s="8" t="str">
        <f>IF('Electric Appliance Checklist'!$C$20="Yes","TRUE","FALSE")</f>
        <v>FALSE</v>
      </c>
      <c r="W14" s="38" t="s">
        <v>103</v>
      </c>
    </row>
    <row r="15" spans="1:26" x14ac:dyDescent="0.25">
      <c r="A15" s="17"/>
      <c r="B15" s="10" t="s">
        <v>19</v>
      </c>
      <c r="F15" s="10"/>
      <c r="I15" s="2">
        <f>IF($S$14="TRUE",$N$14,IF($S$15="TRUE",N15,0))</f>
        <v>0</v>
      </c>
      <c r="M15" s="39" t="s">
        <v>100</v>
      </c>
      <c r="N15" s="1">
        <v>4500</v>
      </c>
      <c r="S15" s="8" t="str">
        <f>IF('Electric Appliance Checklist'!$C$22="Yes","TRUE","FALSE")</f>
        <v>FALSE</v>
      </c>
      <c r="W15" s="7" t="str">
        <f>IF(ISBLANK('Electric Appliance Checklist'!$C$41),"FALSE","TRUE")</f>
        <v>FALSE</v>
      </c>
    </row>
    <row r="16" spans="1:26" x14ac:dyDescent="0.25">
      <c r="A16" s="17"/>
      <c r="B16" s="10" t="s">
        <v>28</v>
      </c>
      <c r="F16" s="10"/>
      <c r="I16" s="2">
        <v>1200</v>
      </c>
      <c r="M16" s="40" t="s">
        <v>65</v>
      </c>
      <c r="N16" s="15" t="s">
        <v>67</v>
      </c>
      <c r="S16" s="8" t="str">
        <f>IF('Electric Appliance Checklist'!$C$21="Yes","TRUE","FALSE")</f>
        <v>FALSE</v>
      </c>
    </row>
    <row r="17" spans="1:26" x14ac:dyDescent="0.25">
      <c r="A17" s="17"/>
      <c r="B17" s="10" t="s">
        <v>29</v>
      </c>
      <c r="F17" s="10"/>
      <c r="I17" s="2">
        <v>720</v>
      </c>
      <c r="W17" s="38" t="s">
        <v>104</v>
      </c>
      <c r="Z17" s="38">
        <f>MIN(W18:W23)</f>
        <v>0</v>
      </c>
    </row>
    <row r="18" spans="1:26" x14ac:dyDescent="0.25">
      <c r="A18" s="17"/>
      <c r="B18" s="10" t="s">
        <v>30</v>
      </c>
      <c r="F18" s="10"/>
      <c r="I18" s="2">
        <v>1800</v>
      </c>
      <c r="M18" s="19" t="s">
        <v>21</v>
      </c>
      <c r="W18" s="38">
        <f>IF(OR(ISBLANK('Electric Appliance Checklist'!$C$3),ISBLANK('Electric Appliance Checklist'!$C$4),ISBLANK('Electric Appliance Checklist'!$C$5)),0,5)</f>
        <v>0</v>
      </c>
      <c r="X18" s="41" t="s">
        <v>109</v>
      </c>
    </row>
    <row r="19" spans="1:26" x14ac:dyDescent="0.25">
      <c r="A19" s="17"/>
      <c r="B19" s="42" t="s">
        <v>33</v>
      </c>
      <c r="F19" s="10"/>
      <c r="I19" s="2">
        <v>1800</v>
      </c>
      <c r="M19" s="10" t="s">
        <v>23</v>
      </c>
      <c r="N19" s="1">
        <v>5000</v>
      </c>
      <c r="S19" s="8" t="str">
        <f>IF('Electric Appliance Checklist'!$C$25="Yes","TRUE","FALSE")</f>
        <v>FALSE</v>
      </c>
      <c r="W19" s="6">
        <f>IF(OR('Electric Appliance Checklist'!$C$11=0,ISBLANK('Electric Appliance Checklist'!$C$11)),1,5)</f>
        <v>1</v>
      </c>
      <c r="X19" s="38" t="s">
        <v>106</v>
      </c>
    </row>
    <row r="20" spans="1:26" x14ac:dyDescent="0.25">
      <c r="A20" s="17"/>
      <c r="B20" s="42" t="s">
        <v>83</v>
      </c>
      <c r="F20" s="10"/>
      <c r="I20" s="2">
        <v>1000</v>
      </c>
      <c r="W20" s="6">
        <f>IF(S37="TRUE",2,5)</f>
        <v>5</v>
      </c>
      <c r="X20" s="6" t="s">
        <v>105</v>
      </c>
    </row>
    <row r="21" spans="1:26" ht="15.75" customHeight="1" x14ac:dyDescent="0.25">
      <c r="A21" s="17"/>
      <c r="B21" s="43" t="s">
        <v>82</v>
      </c>
      <c r="I21" s="2">
        <f>IF($S$36="TRUE",$P$36,0)</f>
        <v>0</v>
      </c>
      <c r="M21" s="19" t="s">
        <v>26</v>
      </c>
      <c r="W21" s="6">
        <f>IF(OR($S$16="TRUE",$S$34="TRUE",$S$9="TRUE",$S$38="TRUE"),3,5)</f>
        <v>5</v>
      </c>
      <c r="X21" s="44" t="s">
        <v>118</v>
      </c>
    </row>
    <row r="22" spans="1:26" ht="15.75" customHeight="1" x14ac:dyDescent="0.25">
      <c r="A22" s="17"/>
      <c r="B22" s="10" t="s">
        <v>34</v>
      </c>
      <c r="I22" s="31">
        <f>SUM(I6:I21)</f>
        <v>11020</v>
      </c>
      <c r="J22" s="45"/>
      <c r="M22" s="15" t="s">
        <v>71</v>
      </c>
      <c r="N22" s="1">
        <v>10800</v>
      </c>
      <c r="S22" s="8" t="str">
        <f>IF('Electric Appliance Checklist'!$C$28="Yes","TRUE","FALSE")</f>
        <v>FALSE</v>
      </c>
      <c r="W22" s="6">
        <f>IF(W15="FALSE",4,5)</f>
        <v>4</v>
      </c>
      <c r="X22" s="46" t="s">
        <v>107</v>
      </c>
    </row>
    <row r="23" spans="1:26" ht="15.75" customHeight="1" x14ac:dyDescent="0.25">
      <c r="A23" s="17">
        <v>6</v>
      </c>
      <c r="B23" s="10" t="s">
        <v>35</v>
      </c>
      <c r="I23" s="31">
        <v>10000</v>
      </c>
      <c r="J23" s="45"/>
      <c r="M23" s="15" t="s">
        <v>72</v>
      </c>
      <c r="N23" s="1">
        <f>20*240</f>
        <v>4800</v>
      </c>
      <c r="S23" s="8" t="str">
        <f>IF('Electric Appliance Checklist'!$C$29="Yes","TRUE","FALSE")</f>
        <v>FALSE</v>
      </c>
      <c r="W23" s="6">
        <v>4</v>
      </c>
      <c r="X23" s="38" t="s">
        <v>108</v>
      </c>
    </row>
    <row r="24" spans="1:26" ht="15.75" customHeight="1" thickBot="1" x14ac:dyDescent="0.3">
      <c r="A24" s="22">
        <v>7</v>
      </c>
      <c r="B24" s="23" t="s">
        <v>36</v>
      </c>
      <c r="C24" s="23"/>
      <c r="D24" s="23" t="s">
        <v>37</v>
      </c>
      <c r="E24" s="23"/>
      <c r="F24" s="23"/>
      <c r="G24" s="47">
        <f>$I$22-$I$23</f>
        <v>1020</v>
      </c>
      <c r="H24" s="23" t="s">
        <v>38</v>
      </c>
      <c r="I24" s="25">
        <f>G24*0.4</f>
        <v>408</v>
      </c>
      <c r="J24" s="45"/>
      <c r="M24" s="15" t="s">
        <v>73</v>
      </c>
      <c r="N24" s="1">
        <v>9000</v>
      </c>
    </row>
    <row r="25" spans="1:26" ht="15.75" customHeight="1" thickBot="1" x14ac:dyDescent="0.3">
      <c r="A25" s="17"/>
      <c r="B25" s="48" t="s">
        <v>34</v>
      </c>
      <c r="G25" s="49"/>
      <c r="I25" s="31">
        <f>$I$23+$I$24</f>
        <v>10408</v>
      </c>
      <c r="M25" s="15" t="s">
        <v>74</v>
      </c>
      <c r="N25" s="1">
        <f>50*240</f>
        <v>12000</v>
      </c>
      <c r="S25" s="8" t="str">
        <f>IF('Electric Appliance Checklist'!$C$30="Yes","TRUE","FALSE")</f>
        <v>FALSE</v>
      </c>
    </row>
    <row r="26" spans="1:26" ht="15.75" customHeight="1" x14ac:dyDescent="0.25">
      <c r="A26" s="12" t="s">
        <v>40</v>
      </c>
      <c r="B26" s="13"/>
      <c r="C26" s="13"/>
      <c r="D26" s="13"/>
      <c r="E26" s="13"/>
      <c r="F26" s="13"/>
      <c r="G26" s="13"/>
      <c r="H26" s="13"/>
      <c r="I26" s="50"/>
      <c r="J26" s="45"/>
      <c r="M26" s="10" t="s">
        <v>31</v>
      </c>
      <c r="N26" s="1">
        <f>120*15</f>
        <v>1800</v>
      </c>
    </row>
    <row r="27" spans="1:26" ht="15.75" customHeight="1" x14ac:dyDescent="0.25">
      <c r="A27" s="17">
        <v>8</v>
      </c>
      <c r="B27" s="10" t="s">
        <v>41</v>
      </c>
      <c r="D27" s="10" t="s">
        <v>42</v>
      </c>
      <c r="I27" s="3">
        <f>IF($S$6="TRUE",$N$6,$N$7+$N$8)</f>
        <v>2200</v>
      </c>
      <c r="J27" s="51"/>
      <c r="M27" s="10" t="s">
        <v>33</v>
      </c>
      <c r="N27" s="1">
        <f>15*120</f>
        <v>1800</v>
      </c>
    </row>
    <row r="28" spans="1:26" ht="15.75" customHeight="1" thickBot="1" x14ac:dyDescent="0.3">
      <c r="A28" s="22">
        <v>9</v>
      </c>
      <c r="B28" s="23" t="s">
        <v>45</v>
      </c>
      <c r="C28" s="23"/>
      <c r="D28" s="23"/>
      <c r="E28" s="23"/>
      <c r="F28" s="23"/>
      <c r="G28" s="30">
        <v>0</v>
      </c>
      <c r="H28" s="23" t="s">
        <v>46</v>
      </c>
      <c r="I28" s="31">
        <f>G28*0.65</f>
        <v>0</v>
      </c>
      <c r="M28" s="10" t="s">
        <v>29</v>
      </c>
      <c r="N28" s="1">
        <f>6*120</f>
        <v>720</v>
      </c>
    </row>
    <row r="29" spans="1:26" ht="15.75" customHeight="1" thickBot="1" x14ac:dyDescent="0.3">
      <c r="A29" s="22"/>
      <c r="B29" s="23" t="s">
        <v>49</v>
      </c>
      <c r="C29" s="23"/>
      <c r="D29" s="23"/>
      <c r="E29" s="23"/>
      <c r="F29" s="23"/>
      <c r="G29" s="23"/>
      <c r="H29" s="23"/>
      <c r="I29" s="52">
        <f>I25+I27+I28</f>
        <v>12608</v>
      </c>
      <c r="M29" s="10" t="s">
        <v>28</v>
      </c>
      <c r="N29" s="1">
        <v>1200</v>
      </c>
    </row>
    <row r="30" spans="1:26" ht="15.75" customHeight="1" x14ac:dyDescent="0.25">
      <c r="M30" s="10" t="s">
        <v>39</v>
      </c>
      <c r="N30" s="1">
        <f>15*120</f>
        <v>1800</v>
      </c>
    </row>
    <row r="31" spans="1:26" ht="15.75" customHeight="1" x14ac:dyDescent="0.25">
      <c r="B31" s="10" t="s">
        <v>52</v>
      </c>
      <c r="I31" s="49">
        <f>I29</f>
        <v>12608</v>
      </c>
      <c r="J31" s="10" t="s">
        <v>53</v>
      </c>
    </row>
    <row r="32" spans="1:26" ht="15.75" customHeight="1" x14ac:dyDescent="0.25">
      <c r="B32" s="10" t="s">
        <v>54</v>
      </c>
      <c r="I32" s="49">
        <f>I31/240</f>
        <v>52.533333333333331</v>
      </c>
      <c r="J32" s="10" t="s">
        <v>55</v>
      </c>
      <c r="M32" s="36" t="s">
        <v>32</v>
      </c>
    </row>
    <row r="33" spans="2:19" ht="15.75" customHeight="1" x14ac:dyDescent="0.25">
      <c r="B33" s="10" t="s">
        <v>57</v>
      </c>
      <c r="I33" s="53">
        <f t="array" ref="I33">IF(I32&lt;=100,100,INDEX($M$43:$M$53,MATCH(I32,$M$43:$M$53)+1,0))</f>
        <v>100</v>
      </c>
      <c r="J33" s="10" t="s">
        <v>55</v>
      </c>
      <c r="M33" s="11" t="s">
        <v>75</v>
      </c>
      <c r="N33" s="54">
        <f>50*240</f>
        <v>12000</v>
      </c>
    </row>
    <row r="34" spans="2:19" ht="15.75" customHeight="1" x14ac:dyDescent="0.25">
      <c r="B34" s="10" t="s">
        <v>59</v>
      </c>
      <c r="H34" s="55" t="s">
        <v>50</v>
      </c>
      <c r="I34" s="55">
        <f>VLOOKUP($I$33,$M$43:$Q$53,2)</f>
        <v>4</v>
      </c>
      <c r="J34" s="10" t="str">
        <f>IF(I34&gt;=250,"kcmil","AWG")</f>
        <v>AWG</v>
      </c>
      <c r="M34" s="11" t="s">
        <v>76</v>
      </c>
      <c r="N34" s="54">
        <f>40*240</f>
        <v>9600</v>
      </c>
      <c r="S34" s="8" t="str">
        <f>IF('Electric Appliance Checklist'!$C$33="Yes","TRUE","FALSE")</f>
        <v>FALSE</v>
      </c>
    </row>
    <row r="35" spans="2:19" ht="15.75" customHeight="1" x14ac:dyDescent="0.25">
      <c r="B35" s="10" t="s">
        <v>61</v>
      </c>
      <c r="H35" s="55" t="s">
        <v>50</v>
      </c>
      <c r="I35" s="55">
        <f>VLOOKUP($I$33,$M$43:$Q$53,5)</f>
        <v>8</v>
      </c>
      <c r="J35" s="10" t="str">
        <f>IF(I35&gt;=250,"kcmil","AWG")</f>
        <v>AWG</v>
      </c>
      <c r="M35" s="11"/>
      <c r="N35" s="54"/>
    </row>
    <row r="36" spans="2:19" ht="15.75" customHeight="1" x14ac:dyDescent="0.25">
      <c r="M36" s="36" t="s">
        <v>82</v>
      </c>
      <c r="N36" s="54">
        <v>2400</v>
      </c>
      <c r="O36" s="56">
        <v>1.25</v>
      </c>
      <c r="P36" s="6">
        <f>N36*1.25</f>
        <v>3000</v>
      </c>
      <c r="S36" s="8" t="str">
        <f>IF('Electric Appliance Checklist'!$C$35="Yes","TRUE","FALSE")</f>
        <v>FALSE</v>
      </c>
    </row>
    <row r="37" spans="2:19" ht="15.75" customHeight="1" x14ac:dyDescent="0.25">
      <c r="M37" s="57" t="s">
        <v>81</v>
      </c>
      <c r="N37" s="54"/>
      <c r="S37" s="8" t="str">
        <f>IF('Electric Appliance Checklist'!$C$34="Yes","TRUE","FALSE")</f>
        <v>FALSE</v>
      </c>
    </row>
    <row r="38" spans="2:19" ht="15.75" customHeight="1" x14ac:dyDescent="0.25">
      <c r="M38" s="44" t="s">
        <v>119</v>
      </c>
      <c r="N38" s="54"/>
      <c r="S38" s="8" t="str">
        <f>IF('Electric Appliance Checklist'!$C$36="Yes","TRUE","FALSE")</f>
        <v>FALSE</v>
      </c>
    </row>
    <row r="39" spans="2:19" ht="15.75" customHeight="1" x14ac:dyDescent="0.25"/>
    <row r="40" spans="2:19" ht="15.75" customHeight="1" x14ac:dyDescent="0.25">
      <c r="M40" s="143" t="s">
        <v>43</v>
      </c>
      <c r="N40" s="151"/>
      <c r="O40" s="151"/>
      <c r="P40" s="152"/>
      <c r="Q40" s="145" t="s">
        <v>44</v>
      </c>
      <c r="R40" s="146"/>
      <c r="S40" s="147"/>
    </row>
    <row r="41" spans="2:19" ht="15.75" customHeight="1" x14ac:dyDescent="0.25">
      <c r="M41" s="153" t="s">
        <v>47</v>
      </c>
      <c r="N41" s="143" t="s">
        <v>48</v>
      </c>
      <c r="O41" s="151"/>
      <c r="P41" s="152"/>
      <c r="Q41" s="148"/>
      <c r="R41" s="149"/>
      <c r="S41" s="150"/>
    </row>
    <row r="42" spans="2:19" ht="15.75" customHeight="1" x14ac:dyDescent="0.25">
      <c r="M42" s="154"/>
      <c r="N42" s="58" t="s">
        <v>50</v>
      </c>
      <c r="O42" s="143" t="s">
        <v>51</v>
      </c>
      <c r="P42" s="152"/>
      <c r="Q42" s="58" t="s">
        <v>50</v>
      </c>
      <c r="R42" s="143" t="s">
        <v>51</v>
      </c>
      <c r="S42" s="144"/>
    </row>
    <row r="43" spans="2:19" ht="15.75" customHeight="1" x14ac:dyDescent="0.25">
      <c r="M43" s="58">
        <v>100</v>
      </c>
      <c r="N43" s="58">
        <v>4</v>
      </c>
      <c r="O43" s="59">
        <v>2</v>
      </c>
      <c r="P43" s="60"/>
      <c r="Q43" s="61">
        <v>8</v>
      </c>
      <c r="R43" s="62">
        <v>6</v>
      </c>
      <c r="S43" s="63"/>
    </row>
    <row r="44" spans="2:19" ht="15.75" customHeight="1" x14ac:dyDescent="0.25">
      <c r="M44" s="58">
        <v>110</v>
      </c>
      <c r="N44" s="58">
        <v>3</v>
      </c>
      <c r="O44" s="59">
        <v>1</v>
      </c>
      <c r="P44" s="60"/>
      <c r="Q44" s="64"/>
      <c r="R44" s="65"/>
      <c r="S44" s="66"/>
    </row>
    <row r="45" spans="2:19" ht="15.75" customHeight="1" x14ac:dyDescent="0.25">
      <c r="M45" s="58">
        <v>125</v>
      </c>
      <c r="N45" s="58">
        <v>2</v>
      </c>
      <c r="O45" s="67" t="s">
        <v>56</v>
      </c>
      <c r="P45" s="60"/>
      <c r="Q45" s="68"/>
      <c r="R45" s="69"/>
      <c r="S45" s="70"/>
    </row>
    <row r="46" spans="2:19" ht="15.75" customHeight="1" x14ac:dyDescent="0.25">
      <c r="M46" s="58">
        <v>150</v>
      </c>
      <c r="N46" s="58">
        <v>1</v>
      </c>
      <c r="O46" s="67" t="s">
        <v>58</v>
      </c>
      <c r="P46" s="60"/>
      <c r="Q46" s="61">
        <v>6</v>
      </c>
      <c r="R46" s="62">
        <v>4</v>
      </c>
      <c r="S46" s="63"/>
    </row>
    <row r="47" spans="2:19" ht="15.75" customHeight="1" x14ac:dyDescent="0.25">
      <c r="M47" s="58">
        <v>175</v>
      </c>
      <c r="N47" s="71" t="s">
        <v>56</v>
      </c>
      <c r="O47" s="67" t="s">
        <v>60</v>
      </c>
      <c r="P47" s="60"/>
      <c r="Q47" s="68"/>
      <c r="R47" s="69"/>
      <c r="S47" s="70"/>
    </row>
    <row r="48" spans="2:19" ht="15.75" customHeight="1" x14ac:dyDescent="0.25">
      <c r="M48" s="58">
        <v>200</v>
      </c>
      <c r="N48" s="72" t="s">
        <v>58</v>
      </c>
      <c r="O48" s="67" t="s">
        <v>62</v>
      </c>
      <c r="P48" s="60"/>
      <c r="Q48" s="61">
        <v>4</v>
      </c>
      <c r="R48" s="62">
        <v>2</v>
      </c>
      <c r="S48" s="63"/>
    </row>
    <row r="49" spans="13:19" ht="15.75" customHeight="1" x14ac:dyDescent="0.25">
      <c r="M49" s="58">
        <v>225</v>
      </c>
      <c r="N49" s="72" t="s">
        <v>60</v>
      </c>
      <c r="O49" s="59">
        <v>250</v>
      </c>
      <c r="P49" s="60"/>
      <c r="Q49" s="68"/>
      <c r="R49" s="69"/>
      <c r="S49" s="70"/>
    </row>
    <row r="50" spans="13:19" ht="15.75" customHeight="1" x14ac:dyDescent="0.25">
      <c r="M50" s="58">
        <v>250</v>
      </c>
      <c r="N50" s="71" t="s">
        <v>62</v>
      </c>
      <c r="O50" s="59">
        <v>300</v>
      </c>
      <c r="P50" s="60"/>
      <c r="Q50" s="61">
        <v>2</v>
      </c>
      <c r="R50" s="73" t="s">
        <v>56</v>
      </c>
      <c r="S50" s="74"/>
    </row>
    <row r="51" spans="13:19" ht="15.75" customHeight="1" x14ac:dyDescent="0.25">
      <c r="M51" s="58">
        <v>300</v>
      </c>
      <c r="N51" s="58">
        <v>250</v>
      </c>
      <c r="O51" s="59">
        <v>350</v>
      </c>
      <c r="P51" s="60"/>
      <c r="Q51" s="64"/>
      <c r="R51" s="75"/>
      <c r="S51" s="76"/>
    </row>
    <row r="52" spans="13:19" ht="15.75" customHeight="1" x14ac:dyDescent="0.25">
      <c r="M52" s="58">
        <v>350</v>
      </c>
      <c r="N52" s="58">
        <v>350</v>
      </c>
      <c r="O52" s="59">
        <v>500</v>
      </c>
      <c r="P52" s="60"/>
      <c r="Q52" s="68"/>
      <c r="R52" s="77"/>
      <c r="S52" s="78"/>
    </row>
    <row r="53" spans="13:19" ht="15.75" customHeight="1" x14ac:dyDescent="0.25">
      <c r="M53" s="58">
        <v>400</v>
      </c>
      <c r="N53" s="58">
        <v>400</v>
      </c>
      <c r="O53" s="59">
        <v>600</v>
      </c>
      <c r="P53" s="60"/>
      <c r="Q53" s="79" t="s">
        <v>56</v>
      </c>
      <c r="R53" s="80" t="s">
        <v>60</v>
      </c>
      <c r="S53" s="81"/>
    </row>
    <row r="54" spans="13:19" ht="15.75" customHeight="1" x14ac:dyDescent="0.25"/>
    <row r="55" spans="13:19" ht="15.75" customHeight="1" x14ac:dyDescent="0.25"/>
    <row r="56" spans="13:19" ht="15.75" customHeight="1" x14ac:dyDescent="0.25"/>
    <row r="57" spans="13:19" ht="15.75" customHeight="1" x14ac:dyDescent="0.25"/>
    <row r="58" spans="13:19" ht="15.75" customHeight="1" x14ac:dyDescent="0.25"/>
    <row r="59" spans="13:19" ht="15.75" customHeight="1" x14ac:dyDescent="0.25"/>
    <row r="60" spans="13:19" ht="15.75" customHeight="1" x14ac:dyDescent="0.25"/>
    <row r="61" spans="13:19" ht="15.75" customHeight="1" x14ac:dyDescent="0.25"/>
    <row r="62" spans="13:19" ht="15.75" customHeight="1" x14ac:dyDescent="0.25"/>
    <row r="63" spans="13:19" ht="15.75" customHeight="1" x14ac:dyDescent="0.25"/>
    <row r="64" spans="13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algorithmName="SHA-512" hashValue="zSsdP39CIV/vTf2TrAhC5QFQ3ckws6YwTUlA4kdPgyAHS0cZh2ORGU2BipkNlkKM8JoyRcH1DaWpJshrwFMU0g==" saltValue="HMZ40uT6Fya9yEgdqWcl6g==" spinCount="100000" sheet="1" objects="1" scenarios="1"/>
  <mergeCells count="7">
    <mergeCell ref="W4:X4"/>
    <mergeCell ref="R42:S42"/>
    <mergeCell ref="Q40:S41"/>
    <mergeCell ref="M40:P40"/>
    <mergeCell ref="M41:M42"/>
    <mergeCell ref="N41:P41"/>
    <mergeCell ref="O42:P42"/>
  </mergeCells>
  <pageMargins left="0.7" right="0.7" top="0.75" bottom="0.75" header="0" footer="0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criptIds xmlns="http://schemas.microsoft.com/office/extensibility/maker/v1.0" id="script-ids-node-id">
  <scriptId xmlns="" id="ms-officescript%3A%2F%2Fonedrive_business_itemlink%2F013AZJK5ZQFJBGSXWFIJBL67VVIILABOOL:ms-officescript%3A%2F%2Fonedrive_business_sharinglink%2Fu!aHR0cHM6Ly9taWxwaXRhcy1teS5zaGFyZXBvaW50LmNvbS86dTovZy9wZXJzb25hbC9qdWxpdV9taWxwaXRhc19nb3YvRVRBcVFtbGV4VUpDdjM2MVFoWUF1Y3NCMVJJN0VUVkwzcXpYdXdkblJuMjhyZw"/>
</scriptIds>
</file>

<file path=customXml/itemProps1.xml><?xml version="1.0" encoding="utf-8"?>
<ds:datastoreItem xmlns:ds="http://schemas.openxmlformats.org/officeDocument/2006/customXml" ds:itemID="{19451007-70AB-4AC5-87D1-E3726496F3D2}">
  <ds:schemaRefs>
    <ds:schemaRef ds:uri="http://schemas.microsoft.com/office/extensibility/maker/v1.0"/>
    <ds:schemaRef ds:uri="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Electric Appliance Checklist</vt:lpstr>
      <vt:lpstr>Background Calculation</vt:lpstr>
      <vt:lpstr>'Background Calculation'!Print_Area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 Liu</dc:creator>
  <cp:lastModifiedBy>Jun Liu</cp:lastModifiedBy>
  <cp:lastPrinted>2024-12-02T23:25:34Z</cp:lastPrinted>
  <dcterms:created xsi:type="dcterms:W3CDTF">2025-05-15T15:28:27Z</dcterms:created>
  <dcterms:modified xsi:type="dcterms:W3CDTF">2025-10-14T18:29:52Z</dcterms:modified>
</cp:coreProperties>
</file>