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juliu\Downloads\"/>
    </mc:Choice>
  </mc:AlternateContent>
  <xr:revisionPtr revIDLastSave="0" documentId="13_ncr:1_{BFB81282-11A1-46D9-A87A-C21646B9D6FA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Residential Load Calculation" sheetId="1" r:id="rId1"/>
    <sheet name="Main+ADU Sampl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" i="2" l="1"/>
  <c r="N31" i="2"/>
  <c r="N28" i="2"/>
  <c r="I28" i="2"/>
  <c r="N26" i="2"/>
  <c r="N25" i="2"/>
  <c r="N24" i="2"/>
  <c r="N23" i="2"/>
  <c r="I22" i="2"/>
  <c r="G24" i="2" s="1"/>
  <c r="I24" i="2" s="1"/>
  <c r="I25" i="2" s="1"/>
  <c r="I29" i="2" s="1"/>
  <c r="I31" i="2" s="1"/>
  <c r="I32" i="2" s="1"/>
  <c r="I33" i="2" s="1" a="1"/>
  <c r="I33" i="2" s="1"/>
  <c r="N21" i="2"/>
  <c r="I20" i="2"/>
  <c r="I10" i="2"/>
  <c r="I9" i="2"/>
  <c r="I8" i="2"/>
  <c r="N6" i="2"/>
  <c r="I6" i="2"/>
  <c r="N32" i="1"/>
  <c r="N31" i="1"/>
  <c r="N28" i="1"/>
  <c r="I28" i="1"/>
  <c r="N26" i="1"/>
  <c r="N25" i="1"/>
  <c r="N24" i="1"/>
  <c r="N23" i="1"/>
  <c r="N21" i="1"/>
  <c r="I20" i="1"/>
  <c r="I10" i="1"/>
  <c r="I9" i="1"/>
  <c r="I8" i="1"/>
  <c r="N6" i="1"/>
  <c r="I6" i="1"/>
  <c r="I22" i="1" s="1"/>
  <c r="G24" i="1" s="1"/>
  <c r="I24" i="1" s="1"/>
  <c r="I25" i="1" s="1"/>
  <c r="I30" i="1" s="1"/>
  <c r="I32" i="1" s="1"/>
  <c r="I33" i="1" s="1"/>
  <c r="I34" i="1" s="1" a="1"/>
  <c r="I34" i="1" s="1"/>
  <c r="I36" i="1" l="1"/>
  <c r="J35" i="1" s="1"/>
  <c r="I35" i="1"/>
  <c r="J34" i="1" s="1"/>
  <c r="I35" i="2"/>
  <c r="J35" i="2" s="1"/>
  <c r="I34" i="2"/>
  <c r="J3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P6" authorId="0" shapeId="0" xr:uid="{00000000-0006-0000-0000-000001000000}">
      <text>
        <r>
          <rPr>
            <sz val="11"/>
            <color theme="1"/>
            <rFont val="Calibri"/>
            <scheme val="minor"/>
          </rPr>
          <t>1 ton = 12k BTU
2-4 rooms - 3 tons typ.
1.5 tons minimum</t>
        </r>
      </text>
    </comment>
    <comment ref="N20" authorId="0" shapeId="0" xr:uid="{00000000-0006-0000-0000-000002000000}">
      <text>
        <r>
          <rPr>
            <sz val="11"/>
            <color theme="1"/>
            <rFont val="Calibri"/>
            <scheme val="minor"/>
          </rPr>
          <t>45A*240V = 10800</t>
        </r>
      </text>
    </comment>
    <comment ref="N21" authorId="0" shapeId="0" xr:uid="{00000000-0006-0000-0000-000003000000}">
      <text>
        <r>
          <rPr>
            <sz val="11"/>
            <color theme="1"/>
            <rFont val="Calibri"/>
            <scheme val="minor"/>
          </rPr>
          <t>20A * 240V = 4800</t>
        </r>
      </text>
    </comment>
    <comment ref="B23" authorId="0" shapeId="0" xr:uid="{00000000-0006-0000-0000-000004000000}">
      <text>
        <r>
          <rPr>
            <sz val="11"/>
            <color theme="1"/>
            <rFont val="Calibri"/>
            <scheme val="minor"/>
          </rPr>
          <t>CEC 220.80(B)</t>
        </r>
      </text>
    </comment>
    <comment ref="N23" authorId="0" shapeId="0" xr:uid="{00000000-0006-0000-0000-000005000000}">
      <text>
        <r>
          <rPr>
            <sz val="11"/>
            <color theme="1"/>
            <rFont val="Calibri"/>
            <scheme val="minor"/>
          </rPr>
          <t xml:space="preserve">50A x 240V = 12,000VA
</t>
        </r>
      </text>
    </comment>
    <comment ref="N24" authorId="0" shapeId="0" xr:uid="{00000000-0006-0000-0000-000006000000}">
      <text>
        <r>
          <rPr>
            <sz val="11"/>
            <color theme="1"/>
            <rFont val="Calibri"/>
            <scheme val="minor"/>
          </rPr>
          <t>15Ax120V = 1800 max</t>
        </r>
      </text>
    </comment>
    <comment ref="N25" authorId="0" shapeId="0" xr:uid="{00000000-0006-0000-0000-000007000000}">
      <text>
        <r>
          <rPr>
            <sz val="11"/>
            <color theme="1"/>
            <rFont val="Calibri"/>
            <scheme val="minor"/>
          </rPr>
          <t>15A*120V = 1800W</t>
        </r>
      </text>
    </comment>
    <comment ref="N26" authorId="0" shapeId="0" xr:uid="{00000000-0006-0000-0000-000008000000}">
      <text>
        <r>
          <rPr>
            <sz val="11"/>
            <color theme="1"/>
            <rFont val="Calibri"/>
            <scheme val="minor"/>
          </rPr>
          <t>6A * 120V = 720W</t>
        </r>
      </text>
    </comment>
    <comment ref="B27" authorId="0" shapeId="0" xr:uid="{00000000-0006-0000-0000-000009000000}">
      <text>
        <r>
          <rPr>
            <sz val="11"/>
            <color theme="1"/>
            <rFont val="Calibri"/>
            <scheme val="minor"/>
          </rPr>
          <t>CEC 220.82(C)(1)</t>
        </r>
      </text>
    </comment>
    <comment ref="N27" authorId="0" shapeId="0" xr:uid="{00000000-0006-0000-0000-00000A000000}">
      <text>
        <r>
          <rPr>
            <sz val="11"/>
            <color theme="1"/>
            <rFont val="Calibri"/>
            <scheme val="minor"/>
          </rPr>
          <t>10A*120V=1200W</t>
        </r>
      </text>
    </comment>
    <comment ref="B28" authorId="0" shapeId="0" xr:uid="{00000000-0006-0000-0000-00000B000000}">
      <text>
        <r>
          <rPr>
            <sz val="11"/>
            <color theme="1"/>
            <rFont val="Calibri"/>
            <scheme val="minor"/>
          </rPr>
          <t xml:space="preserve">CEC 220.80(C)(3)
100% of heat pump + 65% of supplemental heating
</t>
        </r>
      </text>
    </comment>
    <comment ref="N28" authorId="0" shapeId="0" xr:uid="{00000000-0006-0000-0000-00000C000000}">
      <text>
        <r>
          <rPr>
            <sz val="11"/>
            <color theme="1"/>
            <rFont val="Calibri"/>
            <scheme val="minor"/>
          </rPr>
          <t>15A*120V = 1800W</t>
        </r>
      </text>
    </comment>
    <comment ref="B29" authorId="0" shapeId="0" xr:uid="{00000000-0006-0000-0000-00000D000000}">
      <text>
        <r>
          <rPr>
            <sz val="11"/>
            <color theme="1"/>
            <rFont val="Calibri"/>
            <scheme val="minor"/>
          </rPr>
          <t xml:space="preserve">CEC 220.80(C)(4)&amp;CEC 220.80(C)(5)
65% of total wattage if &lt;4
40% of total wattage if &gt;=4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P6" authorId="0" shapeId="0" xr:uid="{00000000-0006-0000-0100-000001000000}">
      <text>
        <r>
          <rPr>
            <sz val="11"/>
            <color theme="1"/>
            <rFont val="Calibri"/>
            <scheme val="minor"/>
          </rPr>
          <t>1 ton = 12k BTU
2-4 rooms - 3 tons typ.
1.5 tons minimum</t>
        </r>
      </text>
    </comment>
    <comment ref="N20" authorId="0" shapeId="0" xr:uid="{00000000-0006-0000-0100-000002000000}">
      <text>
        <r>
          <rPr>
            <sz val="11"/>
            <color theme="1"/>
            <rFont val="Calibri"/>
            <scheme val="minor"/>
          </rPr>
          <t>45A*240V = 10800</t>
        </r>
      </text>
    </comment>
    <comment ref="N21" authorId="0" shapeId="0" xr:uid="{00000000-0006-0000-0100-000003000000}">
      <text>
        <r>
          <rPr>
            <sz val="11"/>
            <color theme="1"/>
            <rFont val="Calibri"/>
            <scheme val="minor"/>
          </rPr>
          <t>20A * 240V = 4800</t>
        </r>
      </text>
    </comment>
    <comment ref="B23" authorId="0" shapeId="0" xr:uid="{00000000-0006-0000-0100-000004000000}">
      <text>
        <r>
          <rPr>
            <sz val="11"/>
            <color theme="1"/>
            <rFont val="Calibri"/>
            <scheme val="minor"/>
          </rPr>
          <t>CEC 220.80(B)</t>
        </r>
      </text>
    </comment>
    <comment ref="N23" authorId="0" shapeId="0" xr:uid="{00000000-0006-0000-0100-000005000000}">
      <text>
        <r>
          <rPr>
            <sz val="11"/>
            <color theme="1"/>
            <rFont val="Calibri"/>
            <scheme val="minor"/>
          </rPr>
          <t xml:space="preserve">50A x 240V = 12,000VA
</t>
        </r>
      </text>
    </comment>
    <comment ref="N24" authorId="0" shapeId="0" xr:uid="{00000000-0006-0000-0100-000006000000}">
      <text>
        <r>
          <rPr>
            <sz val="11"/>
            <color theme="1"/>
            <rFont val="Calibri"/>
            <scheme val="minor"/>
          </rPr>
          <t>15Ax120V = 1800 max</t>
        </r>
      </text>
    </comment>
    <comment ref="N25" authorId="0" shapeId="0" xr:uid="{00000000-0006-0000-0100-000007000000}">
      <text>
        <r>
          <rPr>
            <sz val="11"/>
            <color theme="1"/>
            <rFont val="Calibri"/>
            <scheme val="minor"/>
          </rPr>
          <t>15A*120V = 1800W</t>
        </r>
      </text>
    </comment>
    <comment ref="N26" authorId="0" shapeId="0" xr:uid="{00000000-0006-0000-0100-000008000000}">
      <text>
        <r>
          <rPr>
            <sz val="11"/>
            <color theme="1"/>
            <rFont val="Calibri"/>
            <scheme val="minor"/>
          </rPr>
          <t>6A * 120V = 720W</t>
        </r>
      </text>
    </comment>
    <comment ref="N27" authorId="0" shapeId="0" xr:uid="{00000000-0006-0000-0100-000009000000}">
      <text>
        <r>
          <rPr>
            <sz val="11"/>
            <color theme="1"/>
            <rFont val="Calibri"/>
            <scheme val="minor"/>
          </rPr>
          <t>10A*120V=1200W</t>
        </r>
      </text>
    </comment>
    <comment ref="B28" authorId="0" shapeId="0" xr:uid="{00000000-0006-0000-0100-00000A000000}">
      <text>
        <r>
          <rPr>
            <sz val="11"/>
            <color theme="1"/>
            <rFont val="Calibri"/>
            <scheme val="minor"/>
          </rPr>
          <t xml:space="preserve">CEC 220.80(C)(3)
100% of heat pump + 65% of supplemental heating
</t>
        </r>
      </text>
    </comment>
    <comment ref="N28" authorId="0" shapeId="0" xr:uid="{00000000-0006-0000-0100-00000B000000}">
      <text>
        <r>
          <rPr>
            <sz val="11"/>
            <color theme="1"/>
            <rFont val="Calibri"/>
            <scheme val="minor"/>
          </rPr>
          <t>15A*120V = 1800W</t>
        </r>
      </text>
    </comment>
  </commentList>
</comments>
</file>

<file path=xl/sharedStrings.xml><?xml version="1.0" encoding="utf-8"?>
<sst xmlns="http://schemas.openxmlformats.org/spreadsheetml/2006/main" count="213" uniqueCount="92">
  <si>
    <t>LOAD CALCULATIONS - ALTERNATIVE METHOD PER CEC 220.82</t>
  </si>
  <si>
    <t>VA (Watts)</t>
  </si>
  <si>
    <t>Example Appliances:</t>
  </si>
  <si>
    <t>Check Manufacturer Specifications for Accurate Power Usage</t>
  </si>
  <si>
    <t>General Lighting &amp; Receptacle Loads</t>
  </si>
  <si>
    <t>CEC 220.82(B)</t>
  </si>
  <si>
    <t>Appliance</t>
  </si>
  <si>
    <t>Typical Load VA (Watt)</t>
  </si>
  <si>
    <t>Enter the square foot of your home excluding the garage.</t>
  </si>
  <si>
    <t>HVAC</t>
  </si>
  <si>
    <t>General Lighting</t>
  </si>
  <si>
    <t>sq.ft. x</t>
  </si>
  <si>
    <t>VA =</t>
  </si>
  <si>
    <t>Central AC/Heat Pump</t>
  </si>
  <si>
    <t>/ton</t>
  </si>
  <si>
    <t>tons</t>
  </si>
  <si>
    <t>Small Appliance &amp; Laundry Loads</t>
  </si>
  <si>
    <t>Central Furnace</t>
  </si>
  <si>
    <t>2 small appliance circuits</t>
  </si>
  <si>
    <t>x</t>
  </si>
  <si>
    <t>VA=</t>
  </si>
  <si>
    <t>Air Handler</t>
  </si>
  <si>
    <t xml:space="preserve">Additional small appliance </t>
  </si>
  <si>
    <t>Min. 1 laundry circuit</t>
  </si>
  <si>
    <t>Water heaters</t>
  </si>
  <si>
    <t xml:space="preserve">Dryer  </t>
  </si>
  <si>
    <t>Gas - Tank or Tankless</t>
  </si>
  <si>
    <t>Range</t>
  </si>
  <si>
    <t>Electric</t>
  </si>
  <si>
    <t>Cooktop</t>
  </si>
  <si>
    <t>--Tank (Heat Pump)</t>
  </si>
  <si>
    <t>Oven</t>
  </si>
  <si>
    <t>--Tankless</t>
  </si>
  <si>
    <t>Check Product Specifications</t>
  </si>
  <si>
    <t>Water Heater</t>
  </si>
  <si>
    <t>Refrigerator</t>
  </si>
  <si>
    <t>Laundry</t>
  </si>
  <si>
    <t>Dishwasher</t>
  </si>
  <si>
    <t>Electric Clothes Dryer</t>
  </si>
  <si>
    <t>Disposal</t>
  </si>
  <si>
    <t>Microwave</t>
  </si>
  <si>
    <t>Kitchen</t>
  </si>
  <si>
    <t>EV Charger</t>
  </si>
  <si>
    <t>x1.25</t>
  </si>
  <si>
    <t>=</t>
  </si>
  <si>
    <t>Electric Cooktop</t>
  </si>
  <si>
    <t>Misc</t>
  </si>
  <si>
    <t>Electric Single Oven</t>
  </si>
  <si>
    <t>Subtotal</t>
  </si>
  <si>
    <t>Electric Double Oven</t>
  </si>
  <si>
    <t>First 10000 VA @ 100%</t>
  </si>
  <si>
    <t>Electric Range</t>
  </si>
  <si>
    <t xml:space="preserve">Balance @ 40% </t>
  </si>
  <si>
    <t xml:space="preserve">Balance=(Row 5- Row 6)= </t>
  </si>
  <si>
    <t>x0.4=</t>
  </si>
  <si>
    <t>Built-in Microwave</t>
  </si>
  <si>
    <t>Refridgerator</t>
  </si>
  <si>
    <t>Special Appliance Loads</t>
  </si>
  <si>
    <t>AC/Heating @ 100%</t>
  </si>
  <si>
    <t>Heat pump + Supplemental Electrical Heating</t>
  </si>
  <si>
    <t>x0.65</t>
  </si>
  <si>
    <t>Trash Compactor</t>
  </si>
  <si>
    <t>Electric Wall Heaters</t>
  </si>
  <si>
    <t>Total</t>
  </si>
  <si>
    <t>VA</t>
  </si>
  <si>
    <t>50 Amp</t>
  </si>
  <si>
    <t xml:space="preserve">TOTAL LOAD= </t>
  </si>
  <si>
    <t>Amps</t>
  </si>
  <si>
    <t>40 Amp</t>
  </si>
  <si>
    <t>Service AMPS = TOTAL LOAD/ 240 V</t>
  </si>
  <si>
    <r>
      <rPr>
        <sz val="11"/>
        <color theme="1"/>
        <rFont val="Calibri"/>
      </rPr>
      <t>Minimum Panel Size (75</t>
    </r>
    <r>
      <rPr>
        <sz val="11"/>
        <color theme="1"/>
        <rFont val="Calibri"/>
      </rPr>
      <t>°C terminals)</t>
    </r>
  </si>
  <si>
    <t>Feeder Conductor Size</t>
  </si>
  <si>
    <t>Copper</t>
  </si>
  <si>
    <t>Feeder/Service Conductor Sizing (CEC Table 310.12)</t>
  </si>
  <si>
    <t>Grounding Electrode              (CEC Table 250.66)</t>
  </si>
  <si>
    <t>Grounding Size</t>
  </si>
  <si>
    <t>Service/Feeder Rating</t>
  </si>
  <si>
    <t>Conductor Size (AWG or kcmil)</t>
  </si>
  <si>
    <t>Alu or Cu-Clad Alu</t>
  </si>
  <si>
    <t>1/0</t>
  </si>
  <si>
    <t>2/0</t>
  </si>
  <si>
    <t>3/0</t>
  </si>
  <si>
    <t>4/0</t>
  </si>
  <si>
    <t>ADU + Main House area</t>
  </si>
  <si>
    <t>2x5000</t>
  </si>
  <si>
    <t>2x12000</t>
  </si>
  <si>
    <t>2x4500</t>
  </si>
  <si>
    <t>2x1800</t>
  </si>
  <si>
    <t>2x1200</t>
  </si>
  <si>
    <t>2x720</t>
  </si>
  <si>
    <t xml:space="preserve">CEC </t>
  </si>
  <si>
    <r>
      <rPr>
        <sz val="11"/>
        <color theme="1"/>
        <rFont val="Calibri"/>
      </rPr>
      <t>Minimum Panel Size (75</t>
    </r>
    <r>
      <rPr>
        <sz val="11"/>
        <color theme="1"/>
        <rFont val="Calibri"/>
      </rPr>
      <t>°C terminals)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</si>
</sst>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??_);_(@_)"/>
    <numFmt numFmtId="165" formatCode="#,##0.0_);\(#,##0.0\)"/>
  </numFmts>
  <fonts count="7" x14ac:knownFonts="1">
    <font>
      <sz val="11"/>
      <color theme="1"/>
      <name val="Calibri"/>
      <scheme val="minor"/>
    </font>
    <font>
      <b/>
      <u/>
      <sz val="11"/>
      <color theme="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theme="0"/>
      <name val="Calibri"/>
    </font>
    <font>
      <sz val="11"/>
      <color theme="1"/>
      <name val="Calibri"/>
      <scheme val="minor"/>
    </font>
    <font>
      <sz val="11"/>
      <name val="Calibri"/>
    </font>
  </fonts>
  <fills count="6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</fills>
  <borders count="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2" fillId="0" borderId="5" xfId="0" applyFont="1" applyBorder="1"/>
    <xf numFmtId="0" fontId="2" fillId="2" borderId="6" xfId="0" applyFont="1" applyFill="1" applyBorder="1"/>
    <xf numFmtId="0" fontId="2" fillId="0" borderId="7" xfId="0" applyFont="1" applyBorder="1"/>
    <xf numFmtId="0" fontId="2" fillId="0" borderId="8" xfId="0" applyFont="1" applyBorder="1"/>
    <xf numFmtId="164" fontId="2" fillId="0" borderId="10" xfId="0" applyNumberFormat="1" applyFont="1" applyBorder="1" applyAlignment="1">
      <alignment horizontal="right" vertical="center"/>
    </xf>
    <xf numFmtId="3" fontId="2" fillId="0" borderId="0" xfId="0" applyNumberFormat="1" applyFont="1"/>
    <xf numFmtId="165" fontId="2" fillId="3" borderId="6" xfId="0" applyNumberFormat="1" applyFont="1" applyFill="1" applyBorder="1" applyAlignment="1">
      <alignment horizontal="right" vertical="center"/>
    </xf>
    <xf numFmtId="164" fontId="2" fillId="0" borderId="3" xfId="0" applyNumberFormat="1" applyFont="1" applyBorder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2" fillId="0" borderId="0" xfId="0" quotePrefix="1" applyFont="1"/>
    <xf numFmtId="0" fontId="5" fillId="0" borderId="0" xfId="0" applyFont="1"/>
    <xf numFmtId="0" fontId="2" fillId="0" borderId="0" xfId="0" quotePrefix="1" applyFont="1" applyAlignment="1">
      <alignment horizontal="center"/>
    </xf>
    <xf numFmtId="164" fontId="3" fillId="0" borderId="0" xfId="0" applyNumberFormat="1" applyFont="1"/>
    <xf numFmtId="164" fontId="2" fillId="0" borderId="8" xfId="0" applyNumberFormat="1" applyFont="1" applyBorder="1"/>
    <xf numFmtId="164" fontId="2" fillId="0" borderId="0" xfId="0" applyNumberFormat="1" applyFont="1"/>
    <xf numFmtId="164" fontId="2" fillId="0" borderId="3" xfId="0" applyNumberFormat="1" applyFont="1" applyBorder="1"/>
    <xf numFmtId="164" fontId="3" fillId="0" borderId="4" xfId="0" applyNumberFormat="1" applyFont="1" applyBorder="1"/>
    <xf numFmtId="164" fontId="2" fillId="4" borderId="14" xfId="0" applyNumberFormat="1" applyFont="1" applyFill="1" applyBorder="1"/>
    <xf numFmtId="0" fontId="2" fillId="5" borderId="6" xfId="0" applyFont="1" applyFill="1" applyBorder="1"/>
    <xf numFmtId="0" fontId="2" fillId="0" borderId="0" xfId="0" applyFont="1" applyAlignment="1">
      <alignment horizontal="right"/>
    </xf>
    <xf numFmtId="0" fontId="2" fillId="0" borderId="17" xfId="0" applyFont="1" applyBorder="1" applyAlignment="1">
      <alignment horizontal="center"/>
    </xf>
    <xf numFmtId="0" fontId="2" fillId="0" borderId="2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19" xfId="0" applyFont="1" applyBorder="1"/>
    <xf numFmtId="0" fontId="2" fillId="0" borderId="2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8" xfId="0" applyFont="1" applyBorder="1"/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7" xfId="0" quotePrefix="1" applyFont="1" applyBorder="1" applyAlignment="1">
      <alignment horizontal="center"/>
    </xf>
    <xf numFmtId="0" fontId="2" fillId="0" borderId="27" xfId="0" applyFont="1" applyBorder="1"/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7" fontId="2" fillId="0" borderId="11" xfId="0" quotePrefix="1" applyNumberFormat="1" applyFont="1" applyBorder="1" applyAlignment="1">
      <alignment horizontal="center"/>
    </xf>
    <xf numFmtId="0" fontId="2" fillId="0" borderId="11" xfId="0" quotePrefix="1" applyFont="1" applyBorder="1" applyAlignment="1">
      <alignment horizontal="center"/>
    </xf>
    <xf numFmtId="0" fontId="2" fillId="0" borderId="20" xfId="0" quotePrefix="1" applyFont="1" applyBorder="1" applyAlignment="1">
      <alignment horizontal="center" vertical="center"/>
    </xf>
    <xf numFmtId="0" fontId="2" fillId="0" borderId="11" xfId="0" quotePrefix="1" applyFont="1" applyBorder="1" applyAlignment="1">
      <alignment horizontal="center" vertical="center"/>
    </xf>
    <xf numFmtId="0" fontId="2" fillId="0" borderId="17" xfId="0" quotePrefix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7" fontId="2" fillId="0" borderId="0" xfId="0" applyNumberFormat="1" applyFont="1" applyAlignment="1">
      <alignment horizontal="right"/>
    </xf>
    <xf numFmtId="0" fontId="2" fillId="0" borderId="17" xfId="0" applyFont="1" applyBorder="1" applyAlignment="1">
      <alignment horizontal="center"/>
    </xf>
    <xf numFmtId="0" fontId="6" fillId="0" borderId="18" xfId="0" applyFont="1" applyBorder="1"/>
    <xf numFmtId="0" fontId="6" fillId="0" borderId="19" xfId="0" applyFont="1" applyBorder="1"/>
    <xf numFmtId="0" fontId="2" fillId="0" borderId="20" xfId="0" applyFont="1" applyBorder="1" applyAlignment="1">
      <alignment horizontal="center" vertical="center" wrapText="1"/>
    </xf>
    <xf numFmtId="0" fontId="6" fillId="0" borderId="21" xfId="0" applyFont="1" applyBorder="1"/>
    <xf numFmtId="0" fontId="6" fillId="0" borderId="22" xfId="0" applyFont="1" applyBorder="1"/>
    <xf numFmtId="0" fontId="6" fillId="0" borderId="24" xfId="0" applyFont="1" applyBorder="1"/>
    <xf numFmtId="0" fontId="6" fillId="0" borderId="25" xfId="0" applyFont="1" applyBorder="1"/>
    <xf numFmtId="0" fontId="6" fillId="0" borderId="26" xfId="0" applyFont="1" applyBorder="1"/>
    <xf numFmtId="0" fontId="2" fillId="0" borderId="23" xfId="0" applyFont="1" applyBorder="1" applyAlignment="1">
      <alignment horizontal="center" vertical="center"/>
    </xf>
    <xf numFmtId="0" fontId="6" fillId="0" borderId="27" xfId="0" applyFont="1" applyBorder="1"/>
    <xf numFmtId="0" fontId="2" fillId="3" borderId="9" xfId="0" applyFont="1" applyFill="1" applyBorder="1" applyProtection="1">
      <protection locked="0"/>
    </xf>
    <xf numFmtId="0" fontId="2" fillId="3" borderId="11" xfId="0" applyFont="1" applyFill="1" applyBorder="1" applyProtection="1">
      <protection locked="0"/>
    </xf>
    <xf numFmtId="164" fontId="2" fillId="3" borderId="12" xfId="0" applyNumberFormat="1" applyFont="1" applyFill="1" applyBorder="1" applyAlignment="1" applyProtection="1">
      <alignment horizontal="right" vertical="center"/>
      <protection locked="0"/>
    </xf>
    <xf numFmtId="164" fontId="2" fillId="3" borderId="6" xfId="0" applyNumberFormat="1" applyFont="1" applyFill="1" applyBorder="1" applyAlignment="1" applyProtection="1">
      <alignment horizontal="right" vertical="center"/>
      <protection locked="0"/>
    </xf>
    <xf numFmtId="0" fontId="2" fillId="3" borderId="13" xfId="0" applyFont="1" applyFill="1" applyBorder="1" applyProtection="1">
      <protection locked="0"/>
    </xf>
    <xf numFmtId="164" fontId="2" fillId="3" borderId="12" xfId="0" applyNumberFormat="1" applyFont="1" applyFill="1" applyBorder="1" applyProtection="1">
      <protection locked="0"/>
    </xf>
    <xf numFmtId="164" fontId="2" fillId="3" borderId="15" xfId="0" applyNumberFormat="1" applyFont="1" applyFill="1" applyBorder="1" applyAlignment="1" applyProtection="1">
      <alignment horizontal="right" vertical="center"/>
      <protection locked="0"/>
    </xf>
    <xf numFmtId="0" fontId="6" fillId="0" borderId="16" xfId="0" applyFont="1" applyBorder="1" applyProtection="1">
      <protection locked="0"/>
    </xf>
  </cellXfs>
  <cellStyles count="1">
    <cellStyle name="Normal" xfId="0" builtinId="0"/>
  </cellStyles>
  <dxfs count="3">
    <dxf>
      <fill>
        <patternFill patternType="solid">
          <fgColor rgb="FFFF7C80"/>
          <bgColor rgb="FFFF7C80"/>
        </patternFill>
      </fill>
    </dxf>
    <dxf>
      <fill>
        <patternFill patternType="solid">
          <fgColor rgb="FFFF7C80"/>
          <bgColor rgb="FFFF7C80"/>
        </patternFill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S1000"/>
  <sheetViews>
    <sheetView tabSelected="1" workbookViewId="0">
      <selection activeCell="K17" sqref="K17"/>
    </sheetView>
  </sheetViews>
  <sheetFormatPr defaultColWidth="14.42578125" defaultRowHeight="15" customHeight="1" x14ac:dyDescent="0.25"/>
  <cols>
    <col min="1" max="2" width="8.7109375" customWidth="1"/>
    <col min="3" max="3" width="10" customWidth="1"/>
    <col min="4" max="8" width="8.7109375" customWidth="1"/>
    <col min="9" max="9" width="10.140625" customWidth="1"/>
    <col min="10" max="10" width="8.7109375" customWidth="1"/>
    <col min="11" max="11" width="2.42578125" customWidth="1"/>
    <col min="12" max="12" width="8.7109375" customWidth="1"/>
    <col min="13" max="13" width="25.140625" customWidth="1"/>
    <col min="14" max="14" width="11.7109375" customWidth="1"/>
    <col min="15" max="16" width="8.7109375" customWidth="1"/>
    <col min="17" max="17" width="7.28515625" customWidth="1"/>
    <col min="18" max="19" width="8.7109375" customWidth="1"/>
  </cols>
  <sheetData>
    <row r="3" spans="1:18" x14ac:dyDescent="0.25">
      <c r="A3" s="1" t="s">
        <v>0</v>
      </c>
      <c r="I3" s="2" t="s">
        <v>1</v>
      </c>
      <c r="M3" s="2" t="s">
        <v>2</v>
      </c>
      <c r="N3" s="2" t="s">
        <v>3</v>
      </c>
    </row>
    <row r="4" spans="1:18" x14ac:dyDescent="0.25">
      <c r="A4" s="3" t="s">
        <v>4</v>
      </c>
      <c r="B4" s="4"/>
      <c r="C4" s="4"/>
      <c r="D4" s="4"/>
      <c r="E4" s="4" t="s">
        <v>5</v>
      </c>
      <c r="F4" s="4"/>
      <c r="G4" s="4"/>
      <c r="H4" s="4"/>
      <c r="I4" s="5"/>
      <c r="M4" s="2" t="s">
        <v>6</v>
      </c>
      <c r="N4" s="2" t="s">
        <v>7</v>
      </c>
    </row>
    <row r="5" spans="1:18" x14ac:dyDescent="0.25">
      <c r="A5" s="6"/>
      <c r="E5" s="7" t="s">
        <v>8</v>
      </c>
      <c r="I5" s="8"/>
      <c r="M5" s="9" t="s">
        <v>9</v>
      </c>
    </row>
    <row r="6" spans="1:18" x14ac:dyDescent="0.25">
      <c r="A6" s="10">
        <v>1</v>
      </c>
      <c r="B6" s="11" t="s">
        <v>10</v>
      </c>
      <c r="C6" s="11"/>
      <c r="D6" s="11"/>
      <c r="E6" s="60"/>
      <c r="F6" s="11" t="s">
        <v>11</v>
      </c>
      <c r="G6" s="11">
        <v>3</v>
      </c>
      <c r="H6" s="11" t="s">
        <v>12</v>
      </c>
      <c r="I6" s="12">
        <f>E6*G6</f>
        <v>0</v>
      </c>
      <c r="M6" s="2" t="s">
        <v>13</v>
      </c>
      <c r="N6" s="13">
        <f>O6*Q6</f>
        <v>5400</v>
      </c>
      <c r="O6" s="2">
        <v>1800</v>
      </c>
      <c r="P6" s="2" t="s">
        <v>14</v>
      </c>
      <c r="Q6" s="14">
        <v>3</v>
      </c>
      <c r="R6" s="2" t="s">
        <v>15</v>
      </c>
    </row>
    <row r="7" spans="1:18" x14ac:dyDescent="0.25">
      <c r="A7" s="3" t="s">
        <v>16</v>
      </c>
      <c r="B7" s="4"/>
      <c r="C7" s="4"/>
      <c r="D7" s="4"/>
      <c r="E7" s="4"/>
      <c r="F7" s="4"/>
      <c r="G7" s="4"/>
      <c r="H7" s="4"/>
      <c r="I7" s="15"/>
      <c r="M7" s="2" t="s">
        <v>17</v>
      </c>
      <c r="N7" s="13">
        <v>1200</v>
      </c>
    </row>
    <row r="8" spans="1:18" x14ac:dyDescent="0.25">
      <c r="A8" s="6">
        <v>2</v>
      </c>
      <c r="B8" s="2" t="s">
        <v>18</v>
      </c>
      <c r="E8" s="61">
        <v>2</v>
      </c>
      <c r="F8" s="2" t="s">
        <v>19</v>
      </c>
      <c r="G8" s="2">
        <v>1500</v>
      </c>
      <c r="H8" s="2" t="s">
        <v>20</v>
      </c>
      <c r="I8" s="16">
        <f t="shared" ref="I8:I10" si="0">E8*G8</f>
        <v>3000</v>
      </c>
      <c r="M8" s="2" t="s">
        <v>21</v>
      </c>
      <c r="N8" s="13">
        <v>1000</v>
      </c>
    </row>
    <row r="9" spans="1:18" x14ac:dyDescent="0.25">
      <c r="A9" s="6">
        <v>3</v>
      </c>
      <c r="B9" s="2" t="s">
        <v>22</v>
      </c>
      <c r="E9" s="61">
        <v>0</v>
      </c>
      <c r="F9" s="2" t="s">
        <v>19</v>
      </c>
      <c r="G9" s="2">
        <v>1500</v>
      </c>
      <c r="H9" s="2" t="s">
        <v>20</v>
      </c>
      <c r="I9" s="16">
        <f t="shared" si="0"/>
        <v>0</v>
      </c>
      <c r="M9" s="2"/>
      <c r="N9" s="13"/>
    </row>
    <row r="10" spans="1:18" x14ac:dyDescent="0.25">
      <c r="A10" s="6">
        <v>4</v>
      </c>
      <c r="B10" s="2" t="s">
        <v>23</v>
      </c>
      <c r="E10" s="61">
        <v>1</v>
      </c>
      <c r="F10" s="2" t="s">
        <v>19</v>
      </c>
      <c r="G10" s="2">
        <v>1500</v>
      </c>
      <c r="H10" s="2" t="s">
        <v>20</v>
      </c>
      <c r="I10" s="16">
        <f t="shared" si="0"/>
        <v>1500</v>
      </c>
      <c r="M10" s="9" t="s">
        <v>24</v>
      </c>
      <c r="N10" s="13"/>
    </row>
    <row r="11" spans="1:18" x14ac:dyDescent="0.25">
      <c r="A11" s="6">
        <v>5</v>
      </c>
      <c r="B11" s="2" t="s">
        <v>25</v>
      </c>
      <c r="F11" s="2"/>
      <c r="H11" s="2"/>
      <c r="I11" s="62">
        <v>5000</v>
      </c>
      <c r="M11" s="2" t="s">
        <v>26</v>
      </c>
      <c r="N11" s="13">
        <v>0</v>
      </c>
    </row>
    <row r="12" spans="1:18" x14ac:dyDescent="0.25">
      <c r="A12" s="6"/>
      <c r="B12" s="2" t="s">
        <v>27</v>
      </c>
      <c r="F12" s="2"/>
      <c r="I12" s="62">
        <v>12000</v>
      </c>
      <c r="M12" s="17" t="s">
        <v>28</v>
      </c>
      <c r="N12" s="13"/>
    </row>
    <row r="13" spans="1:18" x14ac:dyDescent="0.25">
      <c r="A13" s="6"/>
      <c r="B13" s="2" t="s">
        <v>29</v>
      </c>
      <c r="F13" s="2"/>
      <c r="I13" s="62">
        <v>0</v>
      </c>
      <c r="M13" s="17" t="s">
        <v>30</v>
      </c>
      <c r="N13" s="13">
        <v>4500</v>
      </c>
    </row>
    <row r="14" spans="1:18" x14ac:dyDescent="0.25">
      <c r="A14" s="6"/>
      <c r="B14" s="2" t="s">
        <v>31</v>
      </c>
      <c r="F14" s="2"/>
      <c r="I14" s="62">
        <v>0</v>
      </c>
      <c r="M14" s="17" t="s">
        <v>32</v>
      </c>
      <c r="N14" s="2" t="s">
        <v>33</v>
      </c>
    </row>
    <row r="15" spans="1:18" x14ac:dyDescent="0.25">
      <c r="A15" s="6"/>
      <c r="B15" s="2" t="s">
        <v>34</v>
      </c>
      <c r="F15" s="2"/>
      <c r="I15" s="62">
        <v>4500</v>
      </c>
    </row>
    <row r="16" spans="1:18" x14ac:dyDescent="0.25">
      <c r="A16" s="6"/>
      <c r="B16" s="2" t="s">
        <v>35</v>
      </c>
      <c r="F16" s="2"/>
      <c r="I16" s="62">
        <v>1800</v>
      </c>
      <c r="M16" s="9" t="s">
        <v>36</v>
      </c>
    </row>
    <row r="17" spans="1:14" x14ac:dyDescent="0.25">
      <c r="A17" s="6"/>
      <c r="B17" s="2" t="s">
        <v>37</v>
      </c>
      <c r="F17" s="2"/>
      <c r="I17" s="62">
        <v>1200</v>
      </c>
      <c r="M17" s="2" t="s">
        <v>38</v>
      </c>
      <c r="N17" s="13">
        <v>5000</v>
      </c>
    </row>
    <row r="18" spans="1:14" x14ac:dyDescent="0.25">
      <c r="A18" s="6"/>
      <c r="B18" s="2" t="s">
        <v>39</v>
      </c>
      <c r="F18" s="2"/>
      <c r="I18" s="62">
        <v>720</v>
      </c>
    </row>
    <row r="19" spans="1:14" x14ac:dyDescent="0.25">
      <c r="A19" s="6"/>
      <c r="B19" s="2" t="s">
        <v>40</v>
      </c>
      <c r="F19" s="2"/>
      <c r="I19" s="62">
        <v>1800</v>
      </c>
      <c r="M19" s="9" t="s">
        <v>41</v>
      </c>
    </row>
    <row r="20" spans="1:14" x14ac:dyDescent="0.25">
      <c r="A20" s="6"/>
      <c r="B20" s="2" t="s">
        <v>42</v>
      </c>
      <c r="F20" s="63">
        <v>0</v>
      </c>
      <c r="G20" s="18" t="s">
        <v>43</v>
      </c>
      <c r="H20" s="19" t="s">
        <v>44</v>
      </c>
      <c r="I20" s="16">
        <f>F20*1.25</f>
        <v>0</v>
      </c>
      <c r="M20" s="2" t="s">
        <v>45</v>
      </c>
      <c r="N20" s="13">
        <v>10800</v>
      </c>
    </row>
    <row r="21" spans="1:14" ht="15.75" customHeight="1" x14ac:dyDescent="0.25">
      <c r="A21" s="6"/>
      <c r="B21" s="2" t="s">
        <v>46</v>
      </c>
      <c r="I21" s="62">
        <v>0</v>
      </c>
      <c r="M21" s="2" t="s">
        <v>47</v>
      </c>
      <c r="N21" s="13">
        <f>20*240</f>
        <v>4800</v>
      </c>
    </row>
    <row r="22" spans="1:14" ht="15.75" customHeight="1" x14ac:dyDescent="0.25">
      <c r="A22" s="6"/>
      <c r="B22" s="2" t="s">
        <v>48</v>
      </c>
      <c r="I22" s="16">
        <f>SUM(I6:I21)</f>
        <v>31520</v>
      </c>
      <c r="M22" s="2" t="s">
        <v>49</v>
      </c>
      <c r="N22" s="13">
        <v>9000</v>
      </c>
    </row>
    <row r="23" spans="1:14" ht="15.75" customHeight="1" x14ac:dyDescent="0.25">
      <c r="A23" s="6">
        <v>6</v>
      </c>
      <c r="B23" s="2" t="s">
        <v>50</v>
      </c>
      <c r="I23" s="16">
        <v>10000</v>
      </c>
      <c r="J23" s="20"/>
      <c r="M23" s="2" t="s">
        <v>51</v>
      </c>
      <c r="N23" s="13">
        <f>50*240</f>
        <v>12000</v>
      </c>
    </row>
    <row r="24" spans="1:14" ht="15.75" customHeight="1" x14ac:dyDescent="0.25">
      <c r="A24" s="10">
        <v>7</v>
      </c>
      <c r="B24" s="11" t="s">
        <v>52</v>
      </c>
      <c r="C24" s="11"/>
      <c r="D24" s="11" t="s">
        <v>53</v>
      </c>
      <c r="E24" s="11"/>
      <c r="F24" s="11"/>
      <c r="G24" s="21">
        <f>$I$22-I23</f>
        <v>21520</v>
      </c>
      <c r="H24" s="11" t="s">
        <v>54</v>
      </c>
      <c r="I24" s="12">
        <f>G24*0.4</f>
        <v>8608</v>
      </c>
      <c r="J24" s="20"/>
      <c r="M24" s="2" t="s">
        <v>55</v>
      </c>
      <c r="N24" s="13">
        <f>120*15</f>
        <v>1800</v>
      </c>
    </row>
    <row r="25" spans="1:14" ht="15.75" customHeight="1" x14ac:dyDescent="0.25">
      <c r="A25" s="6"/>
      <c r="B25" s="2" t="s">
        <v>48</v>
      </c>
      <c r="G25" s="22"/>
      <c r="I25" s="16">
        <f>I23+I24</f>
        <v>18608</v>
      </c>
      <c r="J25" s="20"/>
      <c r="M25" s="2" t="s">
        <v>56</v>
      </c>
      <c r="N25" s="13">
        <f>15*120</f>
        <v>1800</v>
      </c>
    </row>
    <row r="26" spans="1:14" ht="15.75" customHeight="1" x14ac:dyDescent="0.25">
      <c r="A26" s="3" t="s">
        <v>57</v>
      </c>
      <c r="B26" s="4"/>
      <c r="C26" s="4"/>
      <c r="D26" s="4"/>
      <c r="E26" s="4"/>
      <c r="F26" s="4"/>
      <c r="G26" s="4"/>
      <c r="H26" s="4"/>
      <c r="I26" s="23"/>
      <c r="M26" s="2" t="s">
        <v>39</v>
      </c>
      <c r="N26" s="13">
        <f>6*120</f>
        <v>720</v>
      </c>
    </row>
    <row r="27" spans="1:14" ht="15.75" customHeight="1" x14ac:dyDescent="0.25">
      <c r="A27" s="6">
        <v>8</v>
      </c>
      <c r="B27" s="2" t="s">
        <v>58</v>
      </c>
      <c r="D27" s="2"/>
      <c r="I27" s="65">
        <v>3600</v>
      </c>
      <c r="J27" s="20"/>
      <c r="M27" s="2" t="s">
        <v>37</v>
      </c>
      <c r="N27" s="13">
        <v>1200</v>
      </c>
    </row>
    <row r="28" spans="1:14" ht="15.75" customHeight="1" x14ac:dyDescent="0.25">
      <c r="A28" s="6">
        <v>9</v>
      </c>
      <c r="B28" s="2" t="s">
        <v>59</v>
      </c>
      <c r="C28" s="2"/>
      <c r="D28" s="2"/>
      <c r="E28" s="2"/>
      <c r="F28" s="2"/>
      <c r="G28" s="64">
        <v>0</v>
      </c>
      <c r="H28" s="2" t="s">
        <v>60</v>
      </c>
      <c r="I28" s="16">
        <f>G28*0.65</f>
        <v>0</v>
      </c>
      <c r="J28" s="24"/>
      <c r="M28" s="2" t="s">
        <v>61</v>
      </c>
      <c r="N28" s="13">
        <f>15*120</f>
        <v>1800</v>
      </c>
    </row>
    <row r="29" spans="1:14" ht="15.75" customHeight="1" x14ac:dyDescent="0.25">
      <c r="A29" s="10">
        <v>10</v>
      </c>
      <c r="B29" s="11" t="s">
        <v>62</v>
      </c>
      <c r="C29" s="11"/>
      <c r="D29" s="11"/>
      <c r="E29" s="11"/>
      <c r="F29" s="11"/>
      <c r="G29" s="11"/>
      <c r="H29" s="11"/>
      <c r="I29" s="65"/>
    </row>
    <row r="30" spans="1:14" ht="15.75" customHeight="1" x14ac:dyDescent="0.25">
      <c r="A30" s="10"/>
      <c r="B30" s="11" t="s">
        <v>63</v>
      </c>
      <c r="C30" s="11"/>
      <c r="D30" s="11"/>
      <c r="E30" s="11"/>
      <c r="F30" s="11"/>
      <c r="G30" s="11"/>
      <c r="H30" s="11"/>
      <c r="I30" s="25">
        <f>I25+I27+I29</f>
        <v>22208</v>
      </c>
      <c r="M30" s="9" t="s">
        <v>42</v>
      </c>
    </row>
    <row r="31" spans="1:14" ht="15.75" customHeight="1" x14ac:dyDescent="0.25">
      <c r="J31" s="2" t="s">
        <v>64</v>
      </c>
      <c r="M31" s="2" t="s">
        <v>65</v>
      </c>
      <c r="N31" s="13">
        <f>50*240</f>
        <v>12000</v>
      </c>
    </row>
    <row r="32" spans="1:14" ht="15.75" customHeight="1" x14ac:dyDescent="0.25">
      <c r="B32" s="2" t="s">
        <v>66</v>
      </c>
      <c r="I32" s="22">
        <f>I30</f>
        <v>22208</v>
      </c>
      <c r="J32" s="2" t="s">
        <v>67</v>
      </c>
      <c r="M32" s="2" t="s">
        <v>68</v>
      </c>
      <c r="N32" s="13">
        <f>40*240</f>
        <v>9600</v>
      </c>
    </row>
    <row r="33" spans="2:19" ht="15.75" customHeight="1" x14ac:dyDescent="0.25">
      <c r="B33" s="2" t="s">
        <v>69</v>
      </c>
      <c r="I33" s="22">
        <f>I32/240</f>
        <v>92.533333333333331</v>
      </c>
      <c r="J33" s="2" t="s">
        <v>67</v>
      </c>
      <c r="N33" s="13"/>
    </row>
    <row r="34" spans="2:19" ht="15.75" customHeight="1" x14ac:dyDescent="0.25">
      <c r="B34" s="2" t="s">
        <v>70</v>
      </c>
      <c r="I34" s="26">
        <f t="array" ref="I34">IF(I33&lt;=100,100,INDEX($M$38:$M$48,MATCH(I33,$M$38:$M$48)+1,0))</f>
        <v>100</v>
      </c>
      <c r="J34" s="2" t="str">
        <f>IF(COUNTIF(N46:N48,I35),"kcmil","AWG")</f>
        <v>AWG</v>
      </c>
    </row>
    <row r="35" spans="2:19" ht="15.75" customHeight="1" x14ac:dyDescent="0.25">
      <c r="B35" s="2" t="s">
        <v>71</v>
      </c>
      <c r="G35" s="66" t="s">
        <v>72</v>
      </c>
      <c r="H35" s="67"/>
      <c r="I35" s="27">
        <f>VLOOKUP($I$34,$M$38:$R$48,IF($G$35=$N$37,2,3))</f>
        <v>4</v>
      </c>
      <c r="J35" s="2" t="str">
        <f>IF(I36&gt;=250,"kcmil","AWG")</f>
        <v>AWG</v>
      </c>
      <c r="M35" s="49" t="s">
        <v>73</v>
      </c>
      <c r="N35" s="50"/>
      <c r="O35" s="50"/>
      <c r="P35" s="51"/>
      <c r="Q35" s="52" t="s">
        <v>74</v>
      </c>
      <c r="R35" s="53"/>
      <c r="S35" s="54"/>
    </row>
    <row r="36" spans="2:19" ht="15.75" customHeight="1" x14ac:dyDescent="0.25">
      <c r="B36" s="2" t="s">
        <v>75</v>
      </c>
      <c r="G36" s="66" t="s">
        <v>72</v>
      </c>
      <c r="H36" s="67"/>
      <c r="I36" s="27">
        <f>VLOOKUP($I$34,$M$38:$R$48,IF($G$36=$Q$37,5,6))</f>
        <v>8</v>
      </c>
      <c r="M36" s="58" t="s">
        <v>76</v>
      </c>
      <c r="N36" s="49" t="s">
        <v>77</v>
      </c>
      <c r="O36" s="50"/>
      <c r="P36" s="51"/>
      <c r="Q36" s="55"/>
      <c r="R36" s="56"/>
      <c r="S36" s="57"/>
    </row>
    <row r="37" spans="2:19" ht="15.75" customHeight="1" x14ac:dyDescent="0.25">
      <c r="M37" s="59"/>
      <c r="N37" s="30" t="s">
        <v>72</v>
      </c>
      <c r="O37" s="49" t="s">
        <v>78</v>
      </c>
      <c r="P37" s="51"/>
      <c r="Q37" s="30" t="s">
        <v>72</v>
      </c>
      <c r="R37" s="49" t="s">
        <v>78</v>
      </c>
      <c r="S37" s="51"/>
    </row>
    <row r="38" spans="2:19" ht="15.75" customHeight="1" x14ac:dyDescent="0.25">
      <c r="M38" s="30">
        <v>100</v>
      </c>
      <c r="N38" s="30">
        <v>4</v>
      </c>
      <c r="O38" s="28">
        <v>2</v>
      </c>
      <c r="P38" s="31"/>
      <c r="Q38" s="29">
        <v>8</v>
      </c>
      <c r="R38" s="32">
        <v>6</v>
      </c>
      <c r="S38" s="33"/>
    </row>
    <row r="39" spans="2:19" ht="15.75" customHeight="1" x14ac:dyDescent="0.25">
      <c r="M39" s="30">
        <v>110</v>
      </c>
      <c r="N39" s="30">
        <v>3</v>
      </c>
      <c r="O39" s="28">
        <v>1</v>
      </c>
      <c r="P39" s="31"/>
      <c r="Q39" s="34"/>
      <c r="R39" s="35"/>
      <c r="S39" s="36"/>
    </row>
    <row r="40" spans="2:19" ht="15.75" customHeight="1" x14ac:dyDescent="0.25">
      <c r="M40" s="30">
        <v>125</v>
      </c>
      <c r="N40" s="30">
        <v>2</v>
      </c>
      <c r="O40" s="37" t="s">
        <v>79</v>
      </c>
      <c r="P40" s="31"/>
      <c r="Q40" s="38"/>
      <c r="R40" s="39"/>
      <c r="S40" s="40"/>
    </row>
    <row r="41" spans="2:19" ht="15.75" customHeight="1" x14ac:dyDescent="0.25">
      <c r="M41" s="30">
        <v>150</v>
      </c>
      <c r="N41" s="30">
        <v>1</v>
      </c>
      <c r="O41" s="37" t="s">
        <v>80</v>
      </c>
      <c r="P41" s="31"/>
      <c r="Q41" s="29">
        <v>6</v>
      </c>
      <c r="R41" s="32">
        <v>4</v>
      </c>
      <c r="S41" s="33"/>
    </row>
    <row r="42" spans="2:19" ht="15.75" customHeight="1" x14ac:dyDescent="0.25">
      <c r="M42" s="30">
        <v>175</v>
      </c>
      <c r="N42" s="41" t="s">
        <v>79</v>
      </c>
      <c r="O42" s="37" t="s">
        <v>81</v>
      </c>
      <c r="P42" s="31"/>
      <c r="Q42" s="38"/>
      <c r="R42" s="39"/>
      <c r="S42" s="40"/>
    </row>
    <row r="43" spans="2:19" ht="15.75" customHeight="1" x14ac:dyDescent="0.25">
      <c r="M43" s="30">
        <v>200</v>
      </c>
      <c r="N43" s="42" t="s">
        <v>80</v>
      </c>
      <c r="O43" s="37" t="s">
        <v>82</v>
      </c>
      <c r="P43" s="31"/>
      <c r="Q43" s="29">
        <v>4</v>
      </c>
      <c r="R43" s="32">
        <v>2</v>
      </c>
      <c r="S43" s="33"/>
    </row>
    <row r="44" spans="2:19" ht="15.75" customHeight="1" x14ac:dyDescent="0.25">
      <c r="M44" s="30">
        <v>225</v>
      </c>
      <c r="N44" s="42" t="s">
        <v>81</v>
      </c>
      <c r="O44" s="28">
        <v>250</v>
      </c>
      <c r="P44" s="31"/>
      <c r="Q44" s="38"/>
      <c r="R44" s="39"/>
      <c r="S44" s="40"/>
    </row>
    <row r="45" spans="2:19" ht="15.75" customHeight="1" x14ac:dyDescent="0.25">
      <c r="M45" s="30">
        <v>250</v>
      </c>
      <c r="N45" s="41" t="s">
        <v>82</v>
      </c>
      <c r="O45" s="28">
        <v>300</v>
      </c>
      <c r="P45" s="31"/>
      <c r="Q45" s="29">
        <v>2</v>
      </c>
      <c r="R45" s="43" t="s">
        <v>79</v>
      </c>
      <c r="S45" s="33"/>
    </row>
    <row r="46" spans="2:19" ht="15.75" customHeight="1" x14ac:dyDescent="0.25">
      <c r="M46" s="30">
        <v>300</v>
      </c>
      <c r="N46" s="30">
        <v>250</v>
      </c>
      <c r="O46" s="28">
        <v>350</v>
      </c>
      <c r="P46" s="31"/>
      <c r="Q46" s="34"/>
      <c r="R46" s="35"/>
      <c r="S46" s="36"/>
    </row>
    <row r="47" spans="2:19" ht="15.75" customHeight="1" x14ac:dyDescent="0.25">
      <c r="M47" s="30">
        <v>350</v>
      </c>
      <c r="N47" s="30">
        <v>350</v>
      </c>
      <c r="O47" s="28">
        <v>500</v>
      </c>
      <c r="P47" s="31"/>
      <c r="Q47" s="38"/>
      <c r="R47" s="39"/>
      <c r="S47" s="40"/>
    </row>
    <row r="48" spans="2:19" ht="15.75" customHeight="1" x14ac:dyDescent="0.25">
      <c r="M48" s="30">
        <v>400</v>
      </c>
      <c r="N48" s="30">
        <v>400</v>
      </c>
      <c r="O48" s="28">
        <v>600</v>
      </c>
      <c r="P48" s="31"/>
      <c r="Q48" s="44" t="s">
        <v>79</v>
      </c>
      <c r="R48" s="45" t="s">
        <v>81</v>
      </c>
      <c r="S48" s="46"/>
    </row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kaZnHAGxeXonTQQyeN3aMgW5I6l2ULFlISadUz2oFOfs5IGzkj9QLzvdOXmiAQE2q2YPqSrlgwX2Kfwz1Vt50Q==" saltValue="oVqpuhmc0WTeMH9vgu/B6w==" spinCount="100000" sheet="1" objects="1" scenarios="1"/>
  <mergeCells count="8">
    <mergeCell ref="G35:H35"/>
    <mergeCell ref="M35:P35"/>
    <mergeCell ref="Q35:S36"/>
    <mergeCell ref="G36:H36"/>
    <mergeCell ref="M36:M37"/>
    <mergeCell ref="N36:P36"/>
    <mergeCell ref="O37:P37"/>
    <mergeCell ref="R37:S37"/>
  </mergeCells>
  <conditionalFormatting sqref="E5">
    <cfRule type="expression" dxfId="2" priority="1">
      <formula>ISBLANK($E$6)</formula>
    </cfRule>
  </conditionalFormatting>
  <conditionalFormatting sqref="E6">
    <cfRule type="containsBlanks" dxfId="1" priority="2">
      <formula>LEN(TRIM(E6))=0</formula>
    </cfRule>
  </conditionalFormatting>
  <dataValidations count="3">
    <dataValidation type="decimal" operator="greaterThanOrEqual" allowBlank="1" showInputMessage="1" prompt="Minimum 2 per CBC 220.82(B)(2)." sqref="E8" xr:uid="{00000000-0002-0000-0000-000000000000}">
      <formula1>2</formula1>
    </dataValidation>
    <dataValidation type="decimal" operator="greaterThanOrEqual" allowBlank="1" showInputMessage="1" prompt="Minimum 2 per CBC 220.82(B)(2)." sqref="E10" xr:uid="{00000000-0002-0000-0000-000001000000}">
      <formula1>1</formula1>
    </dataValidation>
    <dataValidation type="list" allowBlank="1" showErrorMessage="1" sqref="G35:G36" xr:uid="{00000000-0002-0000-0000-000002000000}">
      <formula1>$N$37:$O$37</formula1>
    </dataValidation>
  </dataValidations>
  <pageMargins left="0.7" right="0.7" top="0.75" bottom="0.75" header="0" footer="0"/>
  <pageSetup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I16" sqref="I16"/>
    </sheetView>
  </sheetViews>
  <sheetFormatPr defaultColWidth="14.42578125" defaultRowHeight="15" customHeight="1" x14ac:dyDescent="0.25"/>
  <cols>
    <col min="1" max="2" width="8.7109375" customWidth="1"/>
    <col min="3" max="3" width="10" customWidth="1"/>
    <col min="4" max="8" width="8.7109375" customWidth="1"/>
    <col min="9" max="9" width="10.140625" customWidth="1"/>
    <col min="10" max="10" width="8.7109375" customWidth="1"/>
    <col min="11" max="11" width="2.42578125" customWidth="1"/>
    <col min="12" max="12" width="8.7109375" customWidth="1"/>
    <col min="13" max="13" width="25.140625" customWidth="1"/>
    <col min="14" max="14" width="11.7109375" customWidth="1"/>
    <col min="15" max="16" width="8.7109375" customWidth="1"/>
    <col min="17" max="17" width="6" customWidth="1"/>
    <col min="18" max="19" width="8.7109375" customWidth="1"/>
  </cols>
  <sheetData>
    <row r="1" spans="1:26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A3" s="1" t="s">
        <v>0</v>
      </c>
      <c r="B3" s="2"/>
      <c r="C3" s="2"/>
      <c r="D3" s="2"/>
      <c r="E3" s="2"/>
      <c r="F3" s="2"/>
      <c r="G3" s="2"/>
      <c r="H3" s="2"/>
      <c r="I3" s="2" t="s">
        <v>1</v>
      </c>
      <c r="J3" s="2"/>
      <c r="K3" s="2"/>
      <c r="L3" s="2"/>
      <c r="M3" s="2" t="s">
        <v>2</v>
      </c>
      <c r="N3" s="2" t="s">
        <v>3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5">
      <c r="A4" s="3" t="s">
        <v>4</v>
      </c>
      <c r="B4" s="4"/>
      <c r="C4" s="4"/>
      <c r="D4" s="4"/>
      <c r="E4" s="4" t="s">
        <v>5</v>
      </c>
      <c r="F4" s="4"/>
      <c r="G4" s="4"/>
      <c r="H4" s="4"/>
      <c r="I4" s="5"/>
      <c r="J4" s="2"/>
      <c r="K4" s="2"/>
      <c r="L4" s="2"/>
      <c r="M4" s="2" t="s">
        <v>6</v>
      </c>
      <c r="N4" s="2" t="s">
        <v>7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5">
      <c r="A5" s="6"/>
      <c r="B5" s="2"/>
      <c r="C5" s="2"/>
      <c r="D5" s="2"/>
      <c r="E5" s="47" t="s">
        <v>83</v>
      </c>
      <c r="F5" s="2"/>
      <c r="G5" s="2"/>
      <c r="H5" s="2"/>
      <c r="I5" s="8"/>
      <c r="J5" s="2"/>
      <c r="K5" s="2"/>
      <c r="L5" s="2"/>
      <c r="M5" s="9" t="s">
        <v>9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5">
      <c r="A6" s="10">
        <v>1</v>
      </c>
      <c r="B6" s="11" t="s">
        <v>10</v>
      </c>
      <c r="C6" s="11"/>
      <c r="D6" s="11"/>
      <c r="E6" s="60">
        <v>2000</v>
      </c>
      <c r="F6" s="11" t="s">
        <v>11</v>
      </c>
      <c r="G6" s="11">
        <v>3</v>
      </c>
      <c r="H6" s="11" t="s">
        <v>12</v>
      </c>
      <c r="I6" s="12">
        <f>E6*G6</f>
        <v>6000</v>
      </c>
      <c r="J6" s="2"/>
      <c r="K6" s="2"/>
      <c r="L6" s="2"/>
      <c r="M6" s="2" t="s">
        <v>13</v>
      </c>
      <c r="N6" s="13">
        <f>O6*Q6</f>
        <v>7200</v>
      </c>
      <c r="O6" s="2">
        <v>1800</v>
      </c>
      <c r="P6" s="2" t="s">
        <v>14</v>
      </c>
      <c r="Q6" s="14">
        <v>4</v>
      </c>
      <c r="R6" s="2" t="s">
        <v>15</v>
      </c>
      <c r="S6" s="2"/>
      <c r="T6" s="2"/>
      <c r="U6" s="2"/>
      <c r="V6" s="2"/>
      <c r="W6" s="2"/>
      <c r="X6" s="2"/>
      <c r="Y6" s="2"/>
      <c r="Z6" s="2"/>
    </row>
    <row r="7" spans="1:26" x14ac:dyDescent="0.25">
      <c r="A7" s="3" t="s">
        <v>16</v>
      </c>
      <c r="B7" s="4"/>
      <c r="C7" s="4"/>
      <c r="D7" s="4"/>
      <c r="E7" s="4"/>
      <c r="F7" s="4"/>
      <c r="G7" s="4"/>
      <c r="H7" s="4"/>
      <c r="I7" s="15"/>
      <c r="J7" s="2"/>
      <c r="K7" s="2"/>
      <c r="L7" s="2"/>
      <c r="M7" s="2" t="s">
        <v>17</v>
      </c>
      <c r="N7" s="13">
        <v>1200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A8" s="6">
        <v>2</v>
      </c>
      <c r="B8" s="2" t="s">
        <v>18</v>
      </c>
      <c r="C8" s="2"/>
      <c r="D8" s="2"/>
      <c r="E8" s="61">
        <v>4</v>
      </c>
      <c r="F8" s="2" t="s">
        <v>19</v>
      </c>
      <c r="G8" s="2">
        <v>1500</v>
      </c>
      <c r="H8" s="2" t="s">
        <v>20</v>
      </c>
      <c r="I8" s="16">
        <f t="shared" ref="I8:I10" si="0">E8*G8</f>
        <v>6000</v>
      </c>
      <c r="J8" s="2"/>
      <c r="K8" s="2"/>
      <c r="L8" s="2"/>
      <c r="M8" s="2" t="s">
        <v>21</v>
      </c>
      <c r="N8" s="13">
        <v>1000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A9" s="6">
        <v>3</v>
      </c>
      <c r="B9" s="2" t="s">
        <v>22</v>
      </c>
      <c r="C9" s="2"/>
      <c r="D9" s="2"/>
      <c r="E9" s="61">
        <v>0</v>
      </c>
      <c r="F9" s="2" t="s">
        <v>19</v>
      </c>
      <c r="G9" s="2">
        <v>1500</v>
      </c>
      <c r="H9" s="2" t="s">
        <v>20</v>
      </c>
      <c r="I9" s="16">
        <f t="shared" si="0"/>
        <v>0</v>
      </c>
      <c r="J9" s="2"/>
      <c r="K9" s="2"/>
      <c r="L9" s="2"/>
      <c r="M9" s="2"/>
      <c r="N9" s="13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A10" s="6">
        <v>4</v>
      </c>
      <c r="B10" s="2" t="s">
        <v>23</v>
      </c>
      <c r="C10" s="2"/>
      <c r="D10" s="2"/>
      <c r="E10" s="61">
        <v>2</v>
      </c>
      <c r="F10" s="2" t="s">
        <v>19</v>
      </c>
      <c r="G10" s="2">
        <v>1500</v>
      </c>
      <c r="H10" s="2" t="s">
        <v>20</v>
      </c>
      <c r="I10" s="16">
        <f t="shared" si="0"/>
        <v>3000</v>
      </c>
      <c r="J10" s="2"/>
      <c r="K10" s="2"/>
      <c r="L10" s="2"/>
      <c r="M10" s="9" t="s">
        <v>24</v>
      </c>
      <c r="N10" s="13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A11" s="6">
        <v>5</v>
      </c>
      <c r="B11" s="2" t="s">
        <v>25</v>
      </c>
      <c r="C11" s="2"/>
      <c r="D11" s="2"/>
      <c r="E11" s="2"/>
      <c r="F11" s="2"/>
      <c r="G11" s="2"/>
      <c r="H11" s="2" t="s">
        <v>84</v>
      </c>
      <c r="I11" s="62">
        <v>10000</v>
      </c>
      <c r="J11" s="2"/>
      <c r="K11" s="2"/>
      <c r="L11" s="2"/>
      <c r="M11" s="2" t="s">
        <v>26</v>
      </c>
      <c r="N11" s="13">
        <v>0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A12" s="6"/>
      <c r="B12" s="2" t="s">
        <v>27</v>
      </c>
      <c r="C12" s="2"/>
      <c r="D12" s="2"/>
      <c r="E12" s="2"/>
      <c r="F12" s="2"/>
      <c r="G12" s="2"/>
      <c r="H12" s="2" t="s">
        <v>85</v>
      </c>
      <c r="I12" s="62">
        <v>24000</v>
      </c>
      <c r="J12" s="2"/>
      <c r="K12" s="2"/>
      <c r="L12" s="2"/>
      <c r="M12" s="17" t="s">
        <v>28</v>
      </c>
      <c r="N12" s="13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5">
      <c r="A13" s="6"/>
      <c r="B13" s="2" t="s">
        <v>29</v>
      </c>
      <c r="C13" s="2"/>
      <c r="D13" s="2"/>
      <c r="E13" s="2"/>
      <c r="F13" s="2"/>
      <c r="G13" s="2"/>
      <c r="H13" s="2"/>
      <c r="I13" s="62">
        <v>0</v>
      </c>
      <c r="J13" s="2"/>
      <c r="K13" s="2"/>
      <c r="L13" s="2"/>
      <c r="M13" s="17" t="s">
        <v>30</v>
      </c>
      <c r="N13" s="13">
        <v>4500</v>
      </c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6"/>
      <c r="B14" s="2" t="s">
        <v>31</v>
      </c>
      <c r="C14" s="2"/>
      <c r="D14" s="2"/>
      <c r="E14" s="2"/>
      <c r="F14" s="2"/>
      <c r="G14" s="2"/>
      <c r="H14" s="2"/>
      <c r="I14" s="62">
        <v>0</v>
      </c>
      <c r="J14" s="2"/>
      <c r="K14" s="2"/>
      <c r="L14" s="2"/>
      <c r="M14" s="17" t="s">
        <v>32</v>
      </c>
      <c r="N14" s="2" t="s">
        <v>33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5">
      <c r="A15" s="6"/>
      <c r="B15" s="2" t="s">
        <v>34</v>
      </c>
      <c r="C15" s="2"/>
      <c r="D15" s="2"/>
      <c r="E15" s="2"/>
      <c r="F15" s="2"/>
      <c r="G15" s="2"/>
      <c r="H15" s="2" t="s">
        <v>86</v>
      </c>
      <c r="I15" s="62">
        <v>9000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5">
      <c r="A16" s="6"/>
      <c r="B16" s="2" t="s">
        <v>35</v>
      </c>
      <c r="C16" s="2"/>
      <c r="D16" s="2"/>
      <c r="E16" s="2"/>
      <c r="F16" s="2"/>
      <c r="G16" s="2"/>
      <c r="H16" s="2" t="s">
        <v>87</v>
      </c>
      <c r="I16" s="62">
        <v>3600</v>
      </c>
      <c r="J16" s="2"/>
      <c r="K16" s="2"/>
      <c r="L16" s="2"/>
      <c r="M16" s="9" t="s">
        <v>36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5">
      <c r="A17" s="6"/>
      <c r="B17" s="2" t="s">
        <v>37</v>
      </c>
      <c r="C17" s="2"/>
      <c r="D17" s="2"/>
      <c r="E17" s="2"/>
      <c r="F17" s="2"/>
      <c r="G17" s="2"/>
      <c r="H17" s="2" t="s">
        <v>88</v>
      </c>
      <c r="I17" s="62">
        <v>2400</v>
      </c>
      <c r="J17" s="2"/>
      <c r="K17" s="2"/>
      <c r="L17" s="2"/>
      <c r="M17" s="2" t="s">
        <v>38</v>
      </c>
      <c r="N17" s="13">
        <v>5000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5">
      <c r="A18" s="6"/>
      <c r="B18" s="2" t="s">
        <v>39</v>
      </c>
      <c r="C18" s="2"/>
      <c r="D18" s="2"/>
      <c r="E18" s="2"/>
      <c r="F18" s="2"/>
      <c r="G18" s="2"/>
      <c r="H18" s="2" t="s">
        <v>89</v>
      </c>
      <c r="I18" s="62">
        <v>1440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5">
      <c r="A19" s="6"/>
      <c r="B19" s="2" t="s">
        <v>40</v>
      </c>
      <c r="C19" s="2"/>
      <c r="D19" s="2"/>
      <c r="E19" s="2"/>
      <c r="F19" s="2"/>
      <c r="G19" s="2"/>
      <c r="H19" s="2" t="s">
        <v>87</v>
      </c>
      <c r="I19" s="62">
        <v>3600</v>
      </c>
      <c r="J19" s="2"/>
      <c r="K19" s="2"/>
      <c r="L19" s="2"/>
      <c r="M19" s="9" t="s">
        <v>41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5">
      <c r="A20" s="6"/>
      <c r="B20" s="2" t="s">
        <v>42</v>
      </c>
      <c r="C20" s="2"/>
      <c r="D20" s="2"/>
      <c r="E20" s="2"/>
      <c r="F20" s="63">
        <v>0</v>
      </c>
      <c r="G20" s="2" t="s">
        <v>43</v>
      </c>
      <c r="H20" s="19" t="s">
        <v>44</v>
      </c>
      <c r="I20" s="16">
        <f>F20*1.25</f>
        <v>0</v>
      </c>
      <c r="J20" s="2"/>
      <c r="K20" s="2"/>
      <c r="L20" s="2"/>
      <c r="M20" s="2" t="s">
        <v>45</v>
      </c>
      <c r="N20" s="13">
        <v>10800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6"/>
      <c r="B21" s="2" t="s">
        <v>46</v>
      </c>
      <c r="C21" s="2"/>
      <c r="D21" s="2"/>
      <c r="E21" s="2"/>
      <c r="F21" s="2"/>
      <c r="G21" s="2"/>
      <c r="H21" s="2"/>
      <c r="I21" s="62">
        <v>0</v>
      </c>
      <c r="J21" s="2"/>
      <c r="K21" s="2"/>
      <c r="L21" s="2"/>
      <c r="M21" s="2" t="s">
        <v>47</v>
      </c>
      <c r="N21" s="13">
        <f>20*240</f>
        <v>4800</v>
      </c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6"/>
      <c r="B22" s="2" t="s">
        <v>48</v>
      </c>
      <c r="C22" s="2"/>
      <c r="D22" s="2"/>
      <c r="E22" s="2"/>
      <c r="F22" s="2"/>
      <c r="G22" s="2"/>
      <c r="H22" s="2"/>
      <c r="I22" s="16">
        <f>SUM(I6:I21)</f>
        <v>69040</v>
      </c>
      <c r="J22" s="2"/>
      <c r="K22" s="2"/>
      <c r="L22" s="2"/>
      <c r="M22" s="2" t="s">
        <v>49</v>
      </c>
      <c r="N22" s="13">
        <v>9000</v>
      </c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6">
        <v>6</v>
      </c>
      <c r="B23" s="2" t="s">
        <v>50</v>
      </c>
      <c r="C23" s="2"/>
      <c r="D23" s="2"/>
      <c r="E23" s="2"/>
      <c r="F23" s="2"/>
      <c r="G23" s="2"/>
      <c r="H23" s="2"/>
      <c r="I23" s="16">
        <v>10000</v>
      </c>
      <c r="J23" s="20"/>
      <c r="K23" s="2"/>
      <c r="L23" s="2"/>
      <c r="M23" s="2" t="s">
        <v>51</v>
      </c>
      <c r="N23" s="13">
        <f>50*240</f>
        <v>12000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10">
        <v>7</v>
      </c>
      <c r="B24" s="11" t="s">
        <v>52</v>
      </c>
      <c r="C24" s="11"/>
      <c r="D24" s="11" t="s">
        <v>53</v>
      </c>
      <c r="E24" s="11"/>
      <c r="F24" s="11"/>
      <c r="G24" s="21">
        <f>$I$22-I23</f>
        <v>59040</v>
      </c>
      <c r="H24" s="11" t="s">
        <v>54</v>
      </c>
      <c r="I24" s="12">
        <f>G24*0.4</f>
        <v>23616</v>
      </c>
      <c r="J24" s="20"/>
      <c r="K24" s="2"/>
      <c r="L24" s="2"/>
      <c r="M24" s="2" t="s">
        <v>55</v>
      </c>
      <c r="N24" s="13">
        <f>120*15</f>
        <v>1800</v>
      </c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6"/>
      <c r="B25" s="2" t="s">
        <v>48</v>
      </c>
      <c r="C25" s="2"/>
      <c r="D25" s="2"/>
      <c r="E25" s="2"/>
      <c r="F25" s="2"/>
      <c r="G25" s="22"/>
      <c r="H25" s="2"/>
      <c r="I25" s="16">
        <f>I23+I24</f>
        <v>33616</v>
      </c>
      <c r="J25" s="20"/>
      <c r="K25" s="2"/>
      <c r="L25" s="2"/>
      <c r="M25" s="2" t="s">
        <v>56</v>
      </c>
      <c r="N25" s="13">
        <f>15*120</f>
        <v>1800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3" t="s">
        <v>57</v>
      </c>
      <c r="B26" s="4"/>
      <c r="C26" s="4"/>
      <c r="D26" s="4"/>
      <c r="E26" s="4"/>
      <c r="F26" s="4"/>
      <c r="G26" s="4"/>
      <c r="H26" s="4"/>
      <c r="I26" s="23"/>
      <c r="J26" s="2"/>
      <c r="K26" s="2"/>
      <c r="L26" s="2"/>
      <c r="M26" s="2" t="s">
        <v>39</v>
      </c>
      <c r="N26" s="13">
        <f>6*120</f>
        <v>720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6">
        <v>8</v>
      </c>
      <c r="B27" s="2" t="s">
        <v>58</v>
      </c>
      <c r="C27" s="2"/>
      <c r="D27" s="2" t="s">
        <v>90</v>
      </c>
      <c r="E27" s="2"/>
      <c r="F27" s="2"/>
      <c r="G27" s="2"/>
      <c r="H27" s="2"/>
      <c r="I27" s="65">
        <v>3600</v>
      </c>
      <c r="J27" s="20"/>
      <c r="K27" s="2"/>
      <c r="L27" s="2"/>
      <c r="M27" s="2" t="s">
        <v>37</v>
      </c>
      <c r="N27" s="13">
        <v>1200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10">
        <v>9</v>
      </c>
      <c r="B28" s="11" t="s">
        <v>59</v>
      </c>
      <c r="C28" s="11"/>
      <c r="D28" s="11"/>
      <c r="E28" s="11"/>
      <c r="F28" s="11"/>
      <c r="G28" s="61">
        <v>0</v>
      </c>
      <c r="H28" s="11" t="s">
        <v>60</v>
      </c>
      <c r="I28" s="16">
        <f>G28*0.65</f>
        <v>0</v>
      </c>
      <c r="J28" s="24"/>
      <c r="K28" s="2"/>
      <c r="L28" s="2"/>
      <c r="M28" s="2" t="s">
        <v>61</v>
      </c>
      <c r="N28" s="13">
        <f>15*120</f>
        <v>1800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10"/>
      <c r="B29" s="11" t="s">
        <v>63</v>
      </c>
      <c r="C29" s="11"/>
      <c r="D29" s="11"/>
      <c r="E29" s="11"/>
      <c r="F29" s="11"/>
      <c r="G29" s="11"/>
      <c r="H29" s="11"/>
      <c r="I29" s="25">
        <f>I25+I27+I28</f>
        <v>37216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9" t="s">
        <v>42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2" t="s">
        <v>66</v>
      </c>
      <c r="C31" s="2"/>
      <c r="D31" s="2"/>
      <c r="E31" s="2"/>
      <c r="F31" s="2"/>
      <c r="G31" s="2"/>
      <c r="H31" s="2"/>
      <c r="I31" s="22">
        <f>I29</f>
        <v>37216</v>
      </c>
      <c r="J31" s="2" t="s">
        <v>64</v>
      </c>
      <c r="K31" s="2"/>
      <c r="L31" s="2"/>
      <c r="M31" s="2" t="s">
        <v>65</v>
      </c>
      <c r="N31" s="13">
        <f>50*240</f>
        <v>12000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" t="s">
        <v>69</v>
      </c>
      <c r="C32" s="2"/>
      <c r="D32" s="2"/>
      <c r="E32" s="2"/>
      <c r="F32" s="2"/>
      <c r="G32" s="2"/>
      <c r="H32" s="2"/>
      <c r="I32" s="22">
        <f>I31/240</f>
        <v>155.06666666666666</v>
      </c>
      <c r="J32" s="2" t="s">
        <v>67</v>
      </c>
      <c r="K32" s="2"/>
      <c r="L32" s="2"/>
      <c r="M32" s="2" t="s">
        <v>68</v>
      </c>
      <c r="N32" s="13">
        <f>40*240</f>
        <v>9600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2" t="s">
        <v>91</v>
      </c>
      <c r="C33" s="2"/>
      <c r="D33" s="2"/>
      <c r="E33" s="2"/>
      <c r="F33" s="2"/>
      <c r="G33" s="2"/>
      <c r="H33" s="2"/>
      <c r="I33" s="26">
        <f t="array" ref="I33">IF(I32&lt;=100,100,INDEX($M$38:$M$48,MATCH(I32,$M$38:$M$48)+1,0))</f>
        <v>175</v>
      </c>
      <c r="J33" s="2" t="s">
        <v>67</v>
      </c>
      <c r="K33" s="2"/>
      <c r="L33" s="2"/>
      <c r="M33" s="2"/>
      <c r="N33" s="13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 t="s">
        <v>71</v>
      </c>
      <c r="C34" s="2"/>
      <c r="D34" s="2"/>
      <c r="E34" s="2"/>
      <c r="F34" s="2"/>
      <c r="G34" s="66" t="s">
        <v>72</v>
      </c>
      <c r="H34" s="67"/>
      <c r="I34" s="48" t="str">
        <f>VLOOKUP($I$33,$M$38:$R$48,IF($G$34=$N$37,2,3))</f>
        <v>1/0</v>
      </c>
      <c r="J34" s="2" t="str">
        <f>IF(COUNTIF(N46:N48,I34),"kcmil","AWG")</f>
        <v>AWG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 t="s">
        <v>75</v>
      </c>
      <c r="C35" s="2"/>
      <c r="D35" s="2"/>
      <c r="E35" s="2"/>
      <c r="F35" s="2"/>
      <c r="G35" s="66" t="s">
        <v>72</v>
      </c>
      <c r="H35" s="67"/>
      <c r="I35" s="27">
        <f>VLOOKUP($I$33,$M$38:$R$48,IF($G$35=$Q$37,5,6))</f>
        <v>0</v>
      </c>
      <c r="J35" s="2" t="str">
        <f>IF(I35&gt;=250,"kcmil","AWG")</f>
        <v>AWG</v>
      </c>
      <c r="K35" s="2"/>
      <c r="L35" s="2"/>
      <c r="M35" s="49" t="s">
        <v>73</v>
      </c>
      <c r="N35" s="50"/>
      <c r="O35" s="50"/>
      <c r="P35" s="51"/>
      <c r="Q35" s="52" t="s">
        <v>74</v>
      </c>
      <c r="R35" s="53"/>
      <c r="S35" s="54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58" t="s">
        <v>76</v>
      </c>
      <c r="N36" s="49" t="s">
        <v>77</v>
      </c>
      <c r="O36" s="50"/>
      <c r="P36" s="51"/>
      <c r="Q36" s="55"/>
      <c r="R36" s="56"/>
      <c r="S36" s="57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59"/>
      <c r="N37" s="30" t="s">
        <v>72</v>
      </c>
      <c r="O37" s="49" t="s">
        <v>78</v>
      </c>
      <c r="P37" s="51"/>
      <c r="Q37" s="30" t="s">
        <v>72</v>
      </c>
      <c r="R37" s="49" t="s">
        <v>78</v>
      </c>
      <c r="S37" s="51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30">
        <v>100</v>
      </c>
      <c r="N38" s="30">
        <v>4</v>
      </c>
      <c r="O38" s="28">
        <v>2</v>
      </c>
      <c r="P38" s="31"/>
      <c r="Q38" s="29">
        <v>8</v>
      </c>
      <c r="R38" s="32">
        <v>6</v>
      </c>
      <c r="S38" s="33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30">
        <v>110</v>
      </c>
      <c r="N39" s="30">
        <v>3</v>
      </c>
      <c r="O39" s="28">
        <v>1</v>
      </c>
      <c r="P39" s="31"/>
      <c r="Q39" s="34"/>
      <c r="R39" s="35"/>
      <c r="S39" s="36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30">
        <v>125</v>
      </c>
      <c r="N40" s="30">
        <v>2</v>
      </c>
      <c r="O40" s="37" t="s">
        <v>79</v>
      </c>
      <c r="P40" s="31"/>
      <c r="Q40" s="38"/>
      <c r="R40" s="39"/>
      <c r="S40" s="40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30">
        <v>150</v>
      </c>
      <c r="N41" s="30">
        <v>1</v>
      </c>
      <c r="O41" s="37" t="s">
        <v>80</v>
      </c>
      <c r="P41" s="31"/>
      <c r="Q41" s="29">
        <v>6</v>
      </c>
      <c r="R41" s="32">
        <v>4</v>
      </c>
      <c r="S41" s="33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30">
        <v>175</v>
      </c>
      <c r="N42" s="41" t="s">
        <v>79</v>
      </c>
      <c r="O42" s="37" t="s">
        <v>81</v>
      </c>
      <c r="P42" s="31"/>
      <c r="Q42" s="38"/>
      <c r="R42" s="39"/>
      <c r="S42" s="40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30">
        <v>200</v>
      </c>
      <c r="N43" s="42" t="s">
        <v>80</v>
      </c>
      <c r="O43" s="37" t="s">
        <v>82</v>
      </c>
      <c r="P43" s="31"/>
      <c r="Q43" s="29">
        <v>4</v>
      </c>
      <c r="R43" s="32">
        <v>2</v>
      </c>
      <c r="S43" s="33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0">
        <v>225</v>
      </c>
      <c r="N44" s="42" t="s">
        <v>81</v>
      </c>
      <c r="O44" s="28">
        <v>250</v>
      </c>
      <c r="P44" s="31"/>
      <c r="Q44" s="38"/>
      <c r="R44" s="39"/>
      <c r="S44" s="40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30">
        <v>250</v>
      </c>
      <c r="N45" s="41" t="s">
        <v>82</v>
      </c>
      <c r="O45" s="28">
        <v>300</v>
      </c>
      <c r="P45" s="31"/>
      <c r="Q45" s="29">
        <v>2</v>
      </c>
      <c r="R45" s="43" t="s">
        <v>79</v>
      </c>
      <c r="S45" s="33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30">
        <v>300</v>
      </c>
      <c r="N46" s="30">
        <v>250</v>
      </c>
      <c r="O46" s="28">
        <v>350</v>
      </c>
      <c r="P46" s="31"/>
      <c r="Q46" s="34"/>
      <c r="R46" s="35"/>
      <c r="S46" s="36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30">
        <v>350</v>
      </c>
      <c r="N47" s="30">
        <v>350</v>
      </c>
      <c r="O47" s="28">
        <v>500</v>
      </c>
      <c r="P47" s="31"/>
      <c r="Q47" s="38"/>
      <c r="R47" s="39"/>
      <c r="S47" s="40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30">
        <v>400</v>
      </c>
      <c r="N48" s="30">
        <v>400</v>
      </c>
      <c r="O48" s="28">
        <v>600</v>
      </c>
      <c r="P48" s="31"/>
      <c r="Q48" s="44" t="s">
        <v>79</v>
      </c>
      <c r="R48" s="45" t="s">
        <v>81</v>
      </c>
      <c r="S48" s="46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sheetProtection algorithmName="SHA-512" hashValue="0RfoQNaqybWQgkyjijZzbdrD1mcNg5Qq+0nAOtiyfQb1rlDTiPUMcvPSKbITE5BHiAYUzYe+d7ozGTwpPo4TjQ==" saltValue="73+8FWNkqDOC/OZzW0Xe2A==" spinCount="100000" sheet="1" objects="1" scenarios="1"/>
  <mergeCells count="8">
    <mergeCell ref="G34:H34"/>
    <mergeCell ref="G35:H35"/>
    <mergeCell ref="M35:P35"/>
    <mergeCell ref="Q35:S36"/>
    <mergeCell ref="M36:M37"/>
    <mergeCell ref="N36:P36"/>
    <mergeCell ref="O37:P37"/>
    <mergeCell ref="R37:S37"/>
  </mergeCells>
  <conditionalFormatting sqref="E6">
    <cfRule type="containsBlanks" dxfId="0" priority="1">
      <formula>LEN(TRIM(E6))=0</formula>
    </cfRule>
  </conditionalFormatting>
  <dataValidations count="3">
    <dataValidation type="decimal" operator="greaterThanOrEqual" allowBlank="1" showInputMessage="1" prompt="Minimum 2 per CBC 220.82(B)(2)." sqref="E8" xr:uid="{00000000-0002-0000-0100-000000000000}">
      <formula1>2</formula1>
    </dataValidation>
    <dataValidation type="decimal" operator="greaterThanOrEqual" allowBlank="1" showInputMessage="1" prompt="Minimum 2 per CBC 220.82(B)(2)." sqref="E10" xr:uid="{00000000-0002-0000-0100-000001000000}">
      <formula1>1</formula1>
    </dataValidation>
    <dataValidation type="list" allowBlank="1" showErrorMessage="1" sqref="G34:G35" xr:uid="{00000000-0002-0000-0100-000002000000}">
      <formula1>$N$37:$O$37</formula1>
    </dataValidation>
  </dataValidations>
  <pageMargins left="0.7" right="0.7" top="0.75" bottom="0.75" header="0" footer="0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Residential Load Calculation</vt:lpstr>
      <vt:lpstr>Main+ADU Sample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 Liu</cp:lastModifiedBy>
  <dcterms:modified xsi:type="dcterms:W3CDTF">2025-09-30T21:57:28Z</dcterms:modified>
</cp:coreProperties>
</file>